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8d89c7297edd87de/Desktop/StableBread/Shared Excel Sheets/"/>
    </mc:Choice>
  </mc:AlternateContent>
  <xr:revisionPtr revIDLastSave="1169" documentId="8_{CB7B0BE8-48D3-435B-BB82-72E2D718B419}" xr6:coauthVersionLast="47" xr6:coauthVersionMax="47" xr10:uidLastSave="{07F93DB1-7D50-47D5-B46A-C8C49DB717B2}"/>
  <workbookProtection workbookAlgorithmName="SHA-512" workbookHashValue="JBX7fKYp6qZUrWFyElsVTJo8ihE1sNdBlpzIQJyR0dR6r38cjJ197gxzEpBecxP+h3aIrThmpuuWs/2ldJF2Cg==" workbookSaltValue="uUHVu77GyXtxNzQ9wgjWLQ==" workbookSpinCount="100000" lockStructure="1"/>
  <bookViews>
    <workbookView xWindow="19740" yWindow="260" windowWidth="18570" windowHeight="20540" xr2:uid="{6836013E-51C3-4273-A5AD-DC3BD7B3CADC}"/>
  </bookViews>
  <sheets>
    <sheet name="COVER" sheetId="5" r:id="rId1"/>
    <sheet name="IS" sheetId="4" r:id="rId2"/>
    <sheet name="BS" sheetId="3" r:id="rId3"/>
    <sheet name="CFS" sheetId="2" r:id="rId4"/>
    <sheet name="FCFF Forecast Model" sheetId="6" r:id="rId5"/>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6" l="1"/>
  <c r="D49" i="6"/>
  <c r="F49" i="6"/>
  <c r="E132" i="6" l="1"/>
  <c r="D132" i="6"/>
  <c r="F132" i="6"/>
  <c r="E128" i="6"/>
  <c r="D128" i="6"/>
  <c r="F128" i="6"/>
  <c r="E124" i="6"/>
  <c r="D124" i="6"/>
  <c r="F124" i="6"/>
  <c r="F136" i="6" s="1"/>
  <c r="F63" i="6" s="1"/>
  <c r="E115" i="6"/>
  <c r="D115" i="6"/>
  <c r="F115" i="6"/>
  <c r="E111" i="6"/>
  <c r="D111" i="6"/>
  <c r="F111" i="6"/>
  <c r="E107" i="6"/>
  <c r="D107" i="6"/>
  <c r="F107" i="6"/>
  <c r="E90" i="6"/>
  <c r="D90" i="6"/>
  <c r="F90" i="6"/>
  <c r="E91" i="6"/>
  <c r="D91" i="6"/>
  <c r="F91" i="6"/>
  <c r="E93" i="6"/>
  <c r="D93" i="6"/>
  <c r="F93" i="6"/>
  <c r="F40" i="6"/>
  <c r="F44" i="6" s="1"/>
  <c r="D40" i="6"/>
  <c r="E40" i="6"/>
  <c r="E35" i="6"/>
  <c r="D35" i="6"/>
  <c r="F35" i="6"/>
  <c r="E34" i="6"/>
  <c r="D34" i="6"/>
  <c r="F34" i="6"/>
  <c r="E24" i="6"/>
  <c r="D24" i="6"/>
  <c r="F24" i="6"/>
  <c r="E20" i="6"/>
  <c r="D20" i="6"/>
  <c r="F20" i="6"/>
  <c r="E15" i="6"/>
  <c r="D15" i="6"/>
  <c r="F15" i="6"/>
  <c r="E11" i="6"/>
  <c r="D11" i="6"/>
  <c r="D149" i="6" s="1"/>
  <c r="F11" i="6"/>
  <c r="E7" i="6"/>
  <c r="D7" i="6"/>
  <c r="D144" i="6" s="1"/>
  <c r="D165" i="6" s="1"/>
  <c r="F7" i="6"/>
  <c r="B131" i="6"/>
  <c r="B130" i="6"/>
  <c r="B129" i="6"/>
  <c r="D136" i="6" l="1"/>
  <c r="D63" i="6" s="1"/>
  <c r="D119" i="6"/>
  <c r="D59" i="6" s="1"/>
  <c r="D55" i="6" s="1"/>
  <c r="D51" i="6" s="1"/>
  <c r="D98" i="6"/>
  <c r="E136" i="6"/>
  <c r="E63" i="6" s="1"/>
  <c r="D44" i="6"/>
  <c r="E44" i="6"/>
  <c r="D92" i="6"/>
  <c r="E92" i="6"/>
  <c r="D166" i="6"/>
  <c r="E98" i="6"/>
  <c r="D159" i="6"/>
  <c r="D155" i="6"/>
  <c r="D157" i="6"/>
  <c r="D162" i="6"/>
  <c r="G6" i="2"/>
  <c r="F6" i="2" s="1"/>
  <c r="E6" i="2" s="1"/>
  <c r="D6" i="2" s="1"/>
  <c r="G6" i="3"/>
  <c r="F6" i="3" s="1"/>
  <c r="E6" i="3" s="1"/>
  <c r="D6" i="3" s="1"/>
  <c r="E20" i="4"/>
  <c r="D20" i="4"/>
  <c r="E12" i="4"/>
  <c r="D12" i="4"/>
  <c r="E9" i="4"/>
  <c r="F9" i="4"/>
  <c r="G6" i="4"/>
  <c r="F6" i="4" s="1"/>
  <c r="E6" i="4" s="1"/>
  <c r="D6" i="4" s="1"/>
  <c r="H12" i="4"/>
  <c r="G12" i="4"/>
  <c r="F12" i="4"/>
  <c r="H9" i="4"/>
  <c r="G9" i="4"/>
  <c r="B103" i="6"/>
  <c r="B86" i="6"/>
  <c r="B3" i="6"/>
  <c r="B3" i="2"/>
  <c r="B3" i="3"/>
  <c r="B3" i="4"/>
  <c r="D99" i="6" l="1"/>
  <c r="D50" i="6"/>
  <c r="E99" i="6"/>
  <c r="E50" i="6"/>
  <c r="D15" i="4"/>
  <c r="E15" i="4"/>
  <c r="D28" i="4" l="1"/>
  <c r="E23" i="4"/>
  <c r="E28" i="4"/>
  <c r="D23" i="4"/>
  <c r="E33" i="4" l="1"/>
  <c r="D33" i="4"/>
  <c r="F149" i="6" l="1"/>
  <c r="B21" i="6"/>
  <c r="B22" i="6"/>
  <c r="F144" i="6"/>
  <c r="F165" i="6" s="1"/>
  <c r="G165" i="6" s="1"/>
  <c r="H165" i="6" s="1"/>
  <c r="I165" i="6" s="1"/>
  <c r="J165" i="6" s="1"/>
  <c r="K165" i="6" s="1"/>
  <c r="B152" i="6"/>
  <c r="B151" i="6"/>
  <c r="B150" i="6"/>
  <c r="B147" i="6"/>
  <c r="B146" i="6"/>
  <c r="B145" i="6"/>
  <c r="F142" i="6"/>
  <c r="B139" i="6"/>
  <c r="B138" i="6"/>
  <c r="B137" i="6"/>
  <c r="B135" i="6"/>
  <c r="B134" i="6"/>
  <c r="B133" i="6"/>
  <c r="B127" i="6"/>
  <c r="B126" i="6"/>
  <c r="B125" i="6"/>
  <c r="B122" i="6"/>
  <c r="B121" i="6"/>
  <c r="B120" i="6"/>
  <c r="B118" i="6"/>
  <c r="B117" i="6"/>
  <c r="B116" i="6"/>
  <c r="B114" i="6"/>
  <c r="B113" i="6"/>
  <c r="B112" i="6"/>
  <c r="B110" i="6"/>
  <c r="B109" i="6"/>
  <c r="B108" i="6"/>
  <c r="G105" i="6"/>
  <c r="H105" i="6" s="1"/>
  <c r="E105" i="6"/>
  <c r="F96" i="6"/>
  <c r="G88" i="6"/>
  <c r="G96" i="6" s="1"/>
  <c r="E88" i="6"/>
  <c r="D88" i="6" s="1"/>
  <c r="D96" i="6" s="1"/>
  <c r="B66" i="6"/>
  <c r="B65" i="6"/>
  <c r="B64" i="6"/>
  <c r="B62" i="6"/>
  <c r="B61" i="6"/>
  <c r="B60" i="6"/>
  <c r="B58" i="6"/>
  <c r="B57" i="6"/>
  <c r="B56" i="6"/>
  <c r="B54" i="6"/>
  <c r="B53" i="6"/>
  <c r="B52" i="6"/>
  <c r="B47" i="6"/>
  <c r="B46" i="6"/>
  <c r="B45" i="6"/>
  <c r="B43" i="6"/>
  <c r="B42" i="6"/>
  <c r="B41" i="6"/>
  <c r="B38" i="6"/>
  <c r="B37" i="6"/>
  <c r="B36" i="6"/>
  <c r="B32" i="6"/>
  <c r="B31" i="6"/>
  <c r="B30" i="6"/>
  <c r="B27" i="6"/>
  <c r="B26" i="6"/>
  <c r="B25" i="6"/>
  <c r="B23" i="6"/>
  <c r="B18" i="6"/>
  <c r="B17" i="6"/>
  <c r="B16" i="6"/>
  <c r="B14" i="6"/>
  <c r="B13" i="6"/>
  <c r="B12" i="6"/>
  <c r="B10" i="6"/>
  <c r="B9" i="6"/>
  <c r="B8" i="6"/>
  <c r="F73" i="6"/>
  <c r="D105" i="6" l="1"/>
  <c r="D142" i="6" s="1"/>
  <c r="F119" i="6"/>
  <c r="F59" i="6" s="1"/>
  <c r="F55" i="6" s="1"/>
  <c r="H88" i="6"/>
  <c r="E96" i="6"/>
  <c r="G90" i="6"/>
  <c r="E142" i="6"/>
  <c r="H142" i="6"/>
  <c r="I105" i="6"/>
  <c r="E5" i="6"/>
  <c r="G5" i="6"/>
  <c r="F80" i="6"/>
  <c r="G80" i="6" s="1"/>
  <c r="F98" i="6"/>
  <c r="G98" i="6" s="1"/>
  <c r="F155" i="6"/>
  <c r="G155" i="6" s="1"/>
  <c r="G142" i="6"/>
  <c r="F81" i="6"/>
  <c r="G81" i="6" s="1"/>
  <c r="F166" i="6"/>
  <c r="G166" i="6" s="1"/>
  <c r="F162" i="6"/>
  <c r="G162" i="6" s="1"/>
  <c r="F29" i="6" l="1"/>
  <c r="E149" i="6"/>
  <c r="E144" i="6"/>
  <c r="F157" i="6"/>
  <c r="G157" i="6" s="1"/>
  <c r="H96" i="6"/>
  <c r="I88" i="6"/>
  <c r="E73" i="6"/>
  <c r="D5" i="6"/>
  <c r="I142" i="6"/>
  <c r="J105" i="6"/>
  <c r="F159" i="6"/>
  <c r="G159" i="6" s="1"/>
  <c r="G73" i="6"/>
  <c r="H5" i="6"/>
  <c r="G8" i="6"/>
  <c r="G10" i="6"/>
  <c r="G9" i="6"/>
  <c r="E119" i="6"/>
  <c r="E59" i="6" s="1"/>
  <c r="E55" i="6" s="1"/>
  <c r="E51" i="6" s="1"/>
  <c r="F92" i="6"/>
  <c r="F50" i="6" s="1"/>
  <c r="F51" i="6" l="1"/>
  <c r="F99" i="6"/>
  <c r="G99" i="6" s="1"/>
  <c r="E162" i="6"/>
  <c r="E165" i="6"/>
  <c r="F75" i="6"/>
  <c r="G75" i="6" s="1"/>
  <c r="E155" i="6"/>
  <c r="E157" i="6"/>
  <c r="E166" i="6"/>
  <c r="I96" i="6"/>
  <c r="J88" i="6"/>
  <c r="E80" i="6"/>
  <c r="H73" i="6"/>
  <c r="I5" i="6"/>
  <c r="E81" i="6"/>
  <c r="J142" i="6"/>
  <c r="K105" i="6"/>
  <c r="G146" i="6"/>
  <c r="G130" i="6" s="1"/>
  <c r="H9" i="6"/>
  <c r="E159" i="6"/>
  <c r="G147" i="6"/>
  <c r="G131" i="6" s="1"/>
  <c r="H10" i="6"/>
  <c r="G145" i="6"/>
  <c r="G129" i="6" s="1"/>
  <c r="H8" i="6"/>
  <c r="D73" i="6"/>
  <c r="E82" i="6" l="1"/>
  <c r="D80" i="6"/>
  <c r="D75" i="6"/>
  <c r="K88" i="6"/>
  <c r="J96" i="6"/>
  <c r="E75" i="6"/>
  <c r="D81" i="6"/>
  <c r="I73" i="6"/>
  <c r="J5" i="6"/>
  <c r="H147" i="6"/>
  <c r="H131" i="6" s="1"/>
  <c r="I10" i="6"/>
  <c r="K142" i="6"/>
  <c r="H146" i="6"/>
  <c r="H130" i="6" s="1"/>
  <c r="I9" i="6"/>
  <c r="H145" i="6"/>
  <c r="H129" i="6" s="1"/>
  <c r="I8" i="6"/>
  <c r="E29" i="6" l="1"/>
  <c r="E67" i="6"/>
  <c r="G117" i="6"/>
  <c r="H162" i="6"/>
  <c r="I162" i="6" s="1"/>
  <c r="G116" i="6"/>
  <c r="G118" i="6"/>
  <c r="H81" i="6"/>
  <c r="G22" i="6"/>
  <c r="G26" i="6" s="1"/>
  <c r="G23" i="6"/>
  <c r="G27" i="6" s="1"/>
  <c r="G21" i="6"/>
  <c r="G25" i="6" s="1"/>
  <c r="D82" i="6"/>
  <c r="D67" i="6"/>
  <c r="D29" i="6"/>
  <c r="K96" i="6"/>
  <c r="H75" i="6"/>
  <c r="I75" i="6" s="1"/>
  <c r="J75" i="6" s="1"/>
  <c r="K75" i="6" s="1"/>
  <c r="G110" i="6"/>
  <c r="G108" i="6"/>
  <c r="H155" i="6"/>
  <c r="G109" i="6"/>
  <c r="I147" i="6"/>
  <c r="I131" i="6" s="1"/>
  <c r="J10" i="6"/>
  <c r="J73" i="6"/>
  <c r="K5" i="6"/>
  <c r="I146" i="6"/>
  <c r="I130" i="6" s="1"/>
  <c r="J9" i="6"/>
  <c r="H98" i="6"/>
  <c r="I98" i="6" s="1"/>
  <c r="J98" i="6" s="1"/>
  <c r="K98" i="6" s="1"/>
  <c r="G91" i="6"/>
  <c r="I145" i="6"/>
  <c r="I129" i="6" s="1"/>
  <c r="J8" i="6"/>
  <c r="G49" i="6" l="1"/>
  <c r="G34" i="6"/>
  <c r="H99" i="6"/>
  <c r="I99" i="6" s="1"/>
  <c r="J99" i="6" s="1"/>
  <c r="K99" i="6" s="1"/>
  <c r="G92" i="6"/>
  <c r="H116" i="6"/>
  <c r="H117" i="6"/>
  <c r="H159" i="6"/>
  <c r="I159" i="6" s="1"/>
  <c r="H157" i="6"/>
  <c r="G135" i="6"/>
  <c r="G133" i="6"/>
  <c r="G134" i="6"/>
  <c r="H166" i="6"/>
  <c r="H118" i="6"/>
  <c r="H80" i="6"/>
  <c r="G14" i="6"/>
  <c r="G13" i="6"/>
  <c r="G12" i="6"/>
  <c r="I81" i="6"/>
  <c r="H23" i="6"/>
  <c r="H27" i="6" s="1"/>
  <c r="H22" i="6"/>
  <c r="H26" i="6" s="1"/>
  <c r="H21" i="6"/>
  <c r="H25" i="6" s="1"/>
  <c r="G7" i="6"/>
  <c r="J145" i="6"/>
  <c r="J129" i="6" s="1"/>
  <c r="K8" i="6"/>
  <c r="H110" i="6"/>
  <c r="H108" i="6"/>
  <c r="I155" i="6"/>
  <c r="H109" i="6"/>
  <c r="K73" i="6"/>
  <c r="I116" i="6"/>
  <c r="J162" i="6"/>
  <c r="I118" i="6"/>
  <c r="I117" i="6"/>
  <c r="J147" i="6"/>
  <c r="J131" i="6" s="1"/>
  <c r="K10" i="6"/>
  <c r="J146" i="6"/>
  <c r="J130" i="6" s="1"/>
  <c r="K9" i="6"/>
  <c r="G93" i="6" l="1"/>
  <c r="G50" i="6"/>
  <c r="H134" i="6"/>
  <c r="G17" i="6"/>
  <c r="G37" i="6" s="1"/>
  <c r="G151" i="6"/>
  <c r="G18" i="6"/>
  <c r="G38" i="6" s="1"/>
  <c r="G152" i="6"/>
  <c r="G16" i="6"/>
  <c r="G36" i="6" s="1"/>
  <c r="G150" i="6"/>
  <c r="G144" i="6"/>
  <c r="H135" i="6"/>
  <c r="I166" i="6"/>
  <c r="I157" i="6"/>
  <c r="H133" i="6"/>
  <c r="J81" i="6"/>
  <c r="I22" i="6"/>
  <c r="I26" i="6" s="1"/>
  <c r="I23" i="6"/>
  <c r="I27" i="6" s="1"/>
  <c r="I21" i="6"/>
  <c r="I25" i="6" s="1"/>
  <c r="I80" i="6"/>
  <c r="H13" i="6"/>
  <c r="H14" i="6"/>
  <c r="H12" i="6"/>
  <c r="G20" i="6"/>
  <c r="G24" i="6" s="1"/>
  <c r="H7" i="6"/>
  <c r="G11" i="6"/>
  <c r="K145" i="6"/>
  <c r="K129" i="6" s="1"/>
  <c r="K147" i="6"/>
  <c r="K131" i="6" s="1"/>
  <c r="J116" i="6"/>
  <c r="J118" i="6"/>
  <c r="J117" i="6"/>
  <c r="K162" i="6"/>
  <c r="I110" i="6"/>
  <c r="I108" i="6"/>
  <c r="J155" i="6"/>
  <c r="I109" i="6"/>
  <c r="K146" i="6"/>
  <c r="K130" i="6" s="1"/>
  <c r="J159" i="6"/>
  <c r="G128" i="6" l="1"/>
  <c r="G132" i="6"/>
  <c r="G31" i="6"/>
  <c r="G32" i="6"/>
  <c r="G30" i="6"/>
  <c r="H90" i="6"/>
  <c r="I135" i="6"/>
  <c r="I134" i="6"/>
  <c r="H20" i="6"/>
  <c r="H24" i="6" s="1"/>
  <c r="H144" i="6"/>
  <c r="H128" i="6" s="1"/>
  <c r="H16" i="6"/>
  <c r="H150" i="6"/>
  <c r="H17" i="6"/>
  <c r="H151" i="6"/>
  <c r="G125" i="6"/>
  <c r="G112" i="6"/>
  <c r="G120" i="6" s="1"/>
  <c r="G60" i="6" s="1"/>
  <c r="G115" i="6"/>
  <c r="G107" i="6"/>
  <c r="G114" i="6"/>
  <c r="G122" i="6" s="1"/>
  <c r="G62" i="6" s="1"/>
  <c r="G127" i="6"/>
  <c r="G126" i="6"/>
  <c r="G113" i="6"/>
  <c r="G121" i="6" s="1"/>
  <c r="G61" i="6" s="1"/>
  <c r="G15" i="6"/>
  <c r="G35" i="6" s="1"/>
  <c r="G149" i="6"/>
  <c r="I133" i="6"/>
  <c r="H18" i="6"/>
  <c r="H38" i="6" s="1"/>
  <c r="H152" i="6"/>
  <c r="J166" i="6"/>
  <c r="H11" i="6"/>
  <c r="J157" i="6"/>
  <c r="J80" i="6"/>
  <c r="I13" i="6"/>
  <c r="I14" i="6"/>
  <c r="I12" i="6"/>
  <c r="K81" i="6"/>
  <c r="J21" i="6"/>
  <c r="J25" i="6" s="1"/>
  <c r="J23" i="6"/>
  <c r="J27" i="6" s="1"/>
  <c r="J22" i="6"/>
  <c r="J26" i="6" s="1"/>
  <c r="I7" i="6"/>
  <c r="K159" i="6"/>
  <c r="J108" i="6"/>
  <c r="K155" i="6"/>
  <c r="J109" i="6"/>
  <c r="J110" i="6"/>
  <c r="K116" i="6"/>
  <c r="K117" i="6"/>
  <c r="K118" i="6"/>
  <c r="G137" i="6" l="1"/>
  <c r="G64" i="6" s="1"/>
  <c r="G56" i="6" s="1"/>
  <c r="G52" i="6" s="1"/>
  <c r="G138" i="6"/>
  <c r="G65" i="6" s="1"/>
  <c r="G57" i="6" s="1"/>
  <c r="G53" i="6" s="1"/>
  <c r="G139" i="6"/>
  <c r="G66" i="6" s="1"/>
  <c r="G58" i="6" s="1"/>
  <c r="G54" i="6" s="1"/>
  <c r="H92" i="6"/>
  <c r="H50" i="6" s="1"/>
  <c r="H91" i="6"/>
  <c r="H32" i="6"/>
  <c r="H31" i="6"/>
  <c r="H37" i="6"/>
  <c r="H30" i="6"/>
  <c r="H36" i="6"/>
  <c r="J133" i="6"/>
  <c r="J135" i="6"/>
  <c r="J134" i="6"/>
  <c r="K166" i="6"/>
  <c r="K135" i="6" s="1"/>
  <c r="G29" i="6"/>
  <c r="H15" i="6"/>
  <c r="H149" i="6"/>
  <c r="H126" i="6"/>
  <c r="H113" i="6"/>
  <c r="H121" i="6" s="1"/>
  <c r="H61" i="6" s="1"/>
  <c r="I18" i="6"/>
  <c r="I38" i="6" s="1"/>
  <c r="I152" i="6"/>
  <c r="J7" i="6"/>
  <c r="J144" i="6" s="1"/>
  <c r="J128" i="6" s="1"/>
  <c r="I144" i="6"/>
  <c r="I128" i="6" s="1"/>
  <c r="H112" i="6"/>
  <c r="H120" i="6" s="1"/>
  <c r="H60" i="6" s="1"/>
  <c r="H125" i="6"/>
  <c r="H115" i="6"/>
  <c r="H107" i="6"/>
  <c r="H132" i="6"/>
  <c r="I17" i="6"/>
  <c r="I37" i="6" s="1"/>
  <c r="I151" i="6"/>
  <c r="G124" i="6"/>
  <c r="G136" i="6" s="1"/>
  <c r="G63" i="6" s="1"/>
  <c r="G111" i="6"/>
  <c r="G119" i="6" s="1"/>
  <c r="G59" i="6" s="1"/>
  <c r="H114" i="6"/>
  <c r="H122" i="6" s="1"/>
  <c r="H62" i="6" s="1"/>
  <c r="H127" i="6"/>
  <c r="I16" i="6"/>
  <c r="I150" i="6"/>
  <c r="K157" i="6"/>
  <c r="K80" i="6"/>
  <c r="J13" i="6"/>
  <c r="J12" i="6"/>
  <c r="J14" i="6"/>
  <c r="I20" i="6"/>
  <c r="I24" i="6" s="1"/>
  <c r="K21" i="6"/>
  <c r="K25" i="6" s="1"/>
  <c r="K23" i="6"/>
  <c r="K27" i="6" s="1"/>
  <c r="K22" i="6"/>
  <c r="K26" i="6" s="1"/>
  <c r="I11" i="6"/>
  <c r="K109" i="6"/>
  <c r="K110" i="6"/>
  <c r="K108" i="6"/>
  <c r="H137" i="6" l="1"/>
  <c r="H64" i="6" s="1"/>
  <c r="H56" i="6" s="1"/>
  <c r="H52" i="6" s="1"/>
  <c r="H138" i="6"/>
  <c r="H65" i="6" s="1"/>
  <c r="H57" i="6" s="1"/>
  <c r="H53" i="6" s="1"/>
  <c r="H139" i="6"/>
  <c r="H66" i="6" s="1"/>
  <c r="H58" i="6" s="1"/>
  <c r="H54" i="6" s="1"/>
  <c r="H93" i="6"/>
  <c r="H34" i="6"/>
  <c r="H49" i="6"/>
  <c r="G55" i="6"/>
  <c r="G51" i="6" s="1"/>
  <c r="I90" i="6"/>
  <c r="H29" i="6"/>
  <c r="H35" i="6"/>
  <c r="I30" i="6"/>
  <c r="I36" i="6"/>
  <c r="K134" i="6"/>
  <c r="I32" i="6"/>
  <c r="K133" i="6"/>
  <c r="I31" i="6"/>
  <c r="J11" i="6"/>
  <c r="J15" i="6" s="1"/>
  <c r="I115" i="6"/>
  <c r="I132" i="6"/>
  <c r="I107" i="6"/>
  <c r="J115" i="6"/>
  <c r="J107" i="6"/>
  <c r="J132" i="6"/>
  <c r="I126" i="6"/>
  <c r="I113" i="6"/>
  <c r="I121" i="6" s="1"/>
  <c r="I61" i="6" s="1"/>
  <c r="I127" i="6"/>
  <c r="I114" i="6"/>
  <c r="I122" i="6" s="1"/>
  <c r="I62" i="6" s="1"/>
  <c r="I125" i="6"/>
  <c r="I112" i="6"/>
  <c r="I120" i="6" s="1"/>
  <c r="I60" i="6" s="1"/>
  <c r="J18" i="6"/>
  <c r="J152" i="6"/>
  <c r="H111" i="6"/>
  <c r="H119" i="6" s="1"/>
  <c r="H59" i="6" s="1"/>
  <c r="H124" i="6"/>
  <c r="H136" i="6" s="1"/>
  <c r="H63" i="6" s="1"/>
  <c r="J16" i="6"/>
  <c r="J150" i="6"/>
  <c r="J17" i="6"/>
  <c r="J151" i="6"/>
  <c r="J20" i="6"/>
  <c r="J24" i="6" s="1"/>
  <c r="K7" i="6"/>
  <c r="K144" i="6" s="1"/>
  <c r="K128" i="6" s="1"/>
  <c r="I15" i="6"/>
  <c r="I35" i="6" s="1"/>
  <c r="I149" i="6"/>
  <c r="K14" i="6"/>
  <c r="K12" i="6"/>
  <c r="K13" i="6"/>
  <c r="I139" i="6" l="1"/>
  <c r="I66" i="6" s="1"/>
  <c r="I58" i="6" s="1"/>
  <c r="I54" i="6" s="1"/>
  <c r="I138" i="6"/>
  <c r="I65" i="6" s="1"/>
  <c r="I57" i="6" s="1"/>
  <c r="I53" i="6" s="1"/>
  <c r="I137" i="6"/>
  <c r="I64" i="6" s="1"/>
  <c r="I56" i="6" s="1"/>
  <c r="I52" i="6" s="1"/>
  <c r="H55" i="6"/>
  <c r="H51" i="6" s="1"/>
  <c r="J35" i="6"/>
  <c r="I91" i="6"/>
  <c r="I92" i="6"/>
  <c r="J31" i="6"/>
  <c r="J37" i="6"/>
  <c r="J32" i="6"/>
  <c r="J38" i="6"/>
  <c r="J30" i="6"/>
  <c r="J36" i="6"/>
  <c r="I29" i="6"/>
  <c r="J149" i="6"/>
  <c r="J124" i="6" s="1"/>
  <c r="J136" i="6" s="1"/>
  <c r="J63" i="6" s="1"/>
  <c r="J29" i="6"/>
  <c r="J127" i="6"/>
  <c r="J114" i="6"/>
  <c r="J122" i="6" s="1"/>
  <c r="J62" i="6" s="1"/>
  <c r="I124" i="6"/>
  <c r="I136" i="6" s="1"/>
  <c r="I63" i="6" s="1"/>
  <c r="I111" i="6"/>
  <c r="I119" i="6" s="1"/>
  <c r="I59" i="6" s="1"/>
  <c r="I55" i="6" s="1"/>
  <c r="I51" i="6" s="1"/>
  <c r="K18" i="6"/>
  <c r="K152" i="6"/>
  <c r="K115" i="6"/>
  <c r="K107" i="6"/>
  <c r="K132" i="6"/>
  <c r="K17" i="6"/>
  <c r="K151" i="6"/>
  <c r="K16" i="6"/>
  <c r="K150" i="6"/>
  <c r="K20" i="6"/>
  <c r="K24" i="6" s="1"/>
  <c r="J125" i="6"/>
  <c r="J112" i="6"/>
  <c r="J120" i="6" s="1"/>
  <c r="J60" i="6" s="1"/>
  <c r="J126" i="6"/>
  <c r="J113" i="6"/>
  <c r="J121" i="6" s="1"/>
  <c r="J61" i="6" s="1"/>
  <c r="K11" i="6"/>
  <c r="J111" i="6" l="1"/>
  <c r="J119" i="6" s="1"/>
  <c r="J59" i="6" s="1"/>
  <c r="J55" i="6" s="1"/>
  <c r="J139" i="6"/>
  <c r="J66" i="6" s="1"/>
  <c r="J58" i="6" s="1"/>
  <c r="J54" i="6" s="1"/>
  <c r="J138" i="6"/>
  <c r="J65" i="6" s="1"/>
  <c r="J57" i="6" s="1"/>
  <c r="J53" i="6" s="1"/>
  <c r="J137" i="6"/>
  <c r="J64" i="6" s="1"/>
  <c r="J56" i="6" s="1"/>
  <c r="J52" i="6" s="1"/>
  <c r="J51" i="6"/>
  <c r="I49" i="6"/>
  <c r="I34" i="6"/>
  <c r="I93" i="6"/>
  <c r="I50" i="6"/>
  <c r="K32" i="6"/>
  <c r="K38" i="6"/>
  <c r="K30" i="6"/>
  <c r="K36" i="6"/>
  <c r="K31" i="6"/>
  <c r="K37" i="6"/>
  <c r="K125" i="6"/>
  <c r="K112" i="6"/>
  <c r="K120" i="6" s="1"/>
  <c r="K60" i="6" s="1"/>
  <c r="K126" i="6"/>
  <c r="K113" i="6"/>
  <c r="K121" i="6" s="1"/>
  <c r="K61" i="6" s="1"/>
  <c r="K114" i="6"/>
  <c r="K122" i="6" s="1"/>
  <c r="K62" i="6" s="1"/>
  <c r="K127" i="6"/>
  <c r="K15" i="6"/>
  <c r="K35" i="6" s="1"/>
  <c r="K149" i="6"/>
  <c r="K138" i="6" l="1"/>
  <c r="K65" i="6" s="1"/>
  <c r="K57" i="6" s="1"/>
  <c r="K53" i="6" s="1"/>
  <c r="K139" i="6"/>
  <c r="K66" i="6" s="1"/>
  <c r="K58" i="6" s="1"/>
  <c r="K54" i="6" s="1"/>
  <c r="K137" i="6"/>
  <c r="K64" i="6" s="1"/>
  <c r="K56" i="6" s="1"/>
  <c r="K52" i="6" s="1"/>
  <c r="J90" i="6"/>
  <c r="K29" i="6"/>
  <c r="K124" i="6"/>
  <c r="K136" i="6" s="1"/>
  <c r="K63" i="6" s="1"/>
  <c r="K111" i="6"/>
  <c r="K119" i="6" s="1"/>
  <c r="K59" i="6" s="1"/>
  <c r="F11" i="5"/>
  <c r="K55" i="6" l="1"/>
  <c r="K51" i="6" s="1"/>
  <c r="J92" i="6"/>
  <c r="J50" i="6" s="1"/>
  <c r="J91" i="6"/>
  <c r="H20" i="4"/>
  <c r="G20" i="4"/>
  <c r="F20" i="4"/>
  <c r="J93" i="6" l="1"/>
  <c r="J49" i="6"/>
  <c r="J34" i="6"/>
  <c r="K90" i="6"/>
  <c r="G15" i="4"/>
  <c r="F15" i="4"/>
  <c r="H15" i="4"/>
  <c r="K92" i="6" l="1"/>
  <c r="K50" i="6" s="1"/>
  <c r="K91" i="6"/>
  <c r="F28" i="4"/>
  <c r="F23" i="4"/>
  <c r="G23" i="4"/>
  <c r="H28" i="4"/>
  <c r="H23" i="4"/>
  <c r="F33" i="4"/>
  <c r="K93" i="6" l="1"/>
  <c r="K49" i="6"/>
  <c r="K34" i="6"/>
  <c r="G28" i="4"/>
  <c r="G33" i="4" l="1"/>
  <c r="F82" i="6" l="1"/>
  <c r="G82" i="6" s="1"/>
  <c r="G42" i="6" l="1"/>
  <c r="G41" i="6"/>
  <c r="G40" i="6"/>
  <c r="H82" i="6"/>
  <c r="G43" i="6"/>
  <c r="H33" i="4"/>
  <c r="G45" i="6" l="1"/>
  <c r="G68" i="6" s="1"/>
  <c r="G47" i="6"/>
  <c r="G70" i="6" s="1"/>
  <c r="G46" i="6"/>
  <c r="G69" i="6" s="1"/>
  <c r="G44" i="6"/>
  <c r="G67" i="6" s="1"/>
  <c r="F70" i="6"/>
  <c r="F67" i="6"/>
  <c r="F68" i="6"/>
  <c r="F69" i="6"/>
  <c r="H42" i="6"/>
  <c r="H41" i="6"/>
  <c r="H40" i="6"/>
  <c r="I82" i="6"/>
  <c r="H43" i="6"/>
  <c r="H46" i="6" l="1"/>
  <c r="H69" i="6" s="1"/>
  <c r="H45" i="6"/>
  <c r="H68" i="6" s="1"/>
  <c r="H47" i="6"/>
  <c r="H70" i="6" s="1"/>
  <c r="H44" i="6"/>
  <c r="H67" i="6" s="1"/>
  <c r="J82" i="6"/>
  <c r="I41" i="6"/>
  <c r="I42" i="6"/>
  <c r="I40" i="6"/>
  <c r="I43" i="6"/>
  <c r="I47" i="6" l="1"/>
  <c r="I70" i="6" s="1"/>
  <c r="I46" i="6"/>
  <c r="I69" i="6" s="1"/>
  <c r="I45" i="6"/>
  <c r="I68" i="6" s="1"/>
  <c r="I44" i="6"/>
  <c r="I67" i="6" s="1"/>
  <c r="J40" i="6"/>
  <c r="J43" i="6"/>
  <c r="J41" i="6"/>
  <c r="J42" i="6"/>
  <c r="K82" i="6"/>
  <c r="J46" i="6" l="1"/>
  <c r="J69" i="6" s="1"/>
  <c r="J45" i="6"/>
  <c r="J68" i="6" s="1"/>
  <c r="J47" i="6"/>
  <c r="J70" i="6" s="1"/>
  <c r="J44" i="6"/>
  <c r="J67" i="6" s="1"/>
  <c r="K41" i="6"/>
  <c r="K42" i="6"/>
  <c r="K43" i="6"/>
  <c r="K40" i="6"/>
  <c r="K47" i="6" l="1"/>
  <c r="K70" i="6" s="1"/>
  <c r="K46" i="6"/>
  <c r="K69" i="6" s="1"/>
  <c r="K45" i="6"/>
  <c r="K68" i="6" s="1"/>
  <c r="K44" i="6"/>
  <c r="K67" i="6" s="1"/>
</calcChain>
</file>

<file path=xl/sharedStrings.xml><?xml version="1.0" encoding="utf-8"?>
<sst xmlns="http://schemas.openxmlformats.org/spreadsheetml/2006/main" count="199" uniqueCount="122">
  <si>
    <t>Free Cash Flow to the Firm (FCFF)</t>
  </si>
  <si>
    <t>FREE CASH FLOW TO THE FIRM (FCFF)</t>
  </si>
  <si>
    <t>(USD in Millions, except per-share data)</t>
  </si>
  <si>
    <t>Net Income</t>
  </si>
  <si>
    <t>Inventories</t>
  </si>
  <si>
    <t>Total Operating Expenses</t>
  </si>
  <si>
    <t>Operating Income (EBIT)</t>
  </si>
  <si>
    <t>Basic Shares Outstanding</t>
  </si>
  <si>
    <t>Diluted Shares Outstanding</t>
  </si>
  <si>
    <t>Basic EPS</t>
  </si>
  <si>
    <t>Diluted EPS</t>
  </si>
  <si>
    <t>INCOME STATEMENT</t>
  </si>
  <si>
    <t>BALANCE SHEET</t>
  </si>
  <si>
    <t>(USD in Millions)</t>
  </si>
  <si>
    <t>Other Current Assets</t>
  </si>
  <si>
    <t xml:space="preserve">Total Current Assets </t>
  </si>
  <si>
    <t>Total Assets</t>
  </si>
  <si>
    <t>Other Current Liabilities</t>
  </si>
  <si>
    <t xml:space="preserve">Total Current Liabilities </t>
  </si>
  <si>
    <t>Total Liabilities</t>
  </si>
  <si>
    <t>Total Liabilities and Stockholders’ Equity</t>
  </si>
  <si>
    <t>ASSETS</t>
  </si>
  <si>
    <t>CASH FLOW STATEMENT</t>
  </si>
  <si>
    <t>Accounts Receivable</t>
  </si>
  <si>
    <t>Accounts Payable</t>
  </si>
  <si>
    <t>Depreciation &amp; Amortization (D&amp;A)</t>
  </si>
  <si>
    <t>Capital Expenditures (CapEx)</t>
  </si>
  <si>
    <t>Acquisitions</t>
  </si>
  <si>
    <t>EBITDA</t>
  </si>
  <si>
    <t>V. 1.0</t>
  </si>
  <si>
    <t>DISCLAIMER</t>
  </si>
  <si>
    <t>All Rights Reserved</t>
  </si>
  <si>
    <t xml:space="preserve">The provided information by StableBread and its affiliates is for informational purposes and not an offer to buy or sell securities. Opinions may change, and accuracy isn't guaranteed, especially from third-party sources. StableBread, its associates, or clients might have interests in discussed securities. StableBread isn't liable for any damages arising from the use of its tools. Third-party references are based on reliable sources, but accuracy isn't guaranteed. Our comments are opinions and rely on credible sources.
</t>
  </si>
  <si>
    <t>Revenue</t>
  </si>
  <si>
    <t>Gross Profit</t>
  </si>
  <si>
    <t>Other Assets</t>
  </si>
  <si>
    <t>Short-Term Debt</t>
  </si>
  <si>
    <t>Long-Term Debt</t>
  </si>
  <si>
    <t>Preferred Stock</t>
  </si>
  <si>
    <t>Retained Earnings</t>
  </si>
  <si>
    <t>Other</t>
  </si>
  <si>
    <t>Historical</t>
  </si>
  <si>
    <t>Fiscal Year</t>
  </si>
  <si>
    <t>Operating Expenses</t>
  </si>
  <si>
    <t>EBIAT</t>
  </si>
  <si>
    <t>Less: Capital Expenditures</t>
  </si>
  <si>
    <t>Less: Change in Non-Cash NWC</t>
  </si>
  <si>
    <t>Non-Cash Net Working Capital (NWC)</t>
  </si>
  <si>
    <t>Non-Cash Current Assets</t>
  </si>
  <si>
    <t>Non-Cash Current Liabilities</t>
  </si>
  <si>
    <t>Free Cash Flow to the Firm (FCFF): Conservative Case</t>
  </si>
  <si>
    <t>Free Cash Flow to the Firm (FCFF): Base Case</t>
  </si>
  <si>
    <t>Free Cash Flow to the Firm (FCFF): Optimistic Case</t>
  </si>
  <si>
    <t>Free Cash Flow to the Firm (FCFF) Assumptions</t>
  </si>
  <si>
    <t>Revenue Growth</t>
  </si>
  <si>
    <t>Revenue Growth: Conservative Case</t>
  </si>
  <si>
    <t>Revenue Growth: Base Case</t>
  </si>
  <si>
    <t>Revenue Growth: Optimistic Case</t>
  </si>
  <si>
    <t>COGS % of Revenue</t>
  </si>
  <si>
    <t>SG&amp;A % of Revenue</t>
  </si>
  <si>
    <t>Tax % of EBIT</t>
  </si>
  <si>
    <t>Fixed Assets (FA) Schedule</t>
  </si>
  <si>
    <t>Fixed Assets (FA) Assumptions</t>
  </si>
  <si>
    <t>D&amp;A % of Beginning PP&amp;E</t>
  </si>
  <si>
    <t>CapEx % of Beginning PP&amp;E</t>
  </si>
  <si>
    <t>Days Sales Outstanding (DSO)</t>
  </si>
  <si>
    <t>Inventory</t>
  </si>
  <si>
    <t>Days Inventory Outstanding (DIO)</t>
  </si>
  <si>
    <t>Days Payable Outstanding (DPO)</t>
  </si>
  <si>
    <t>FCFF Forecast Model</t>
  </si>
  <si>
    <t>Year Ended December 31,</t>
  </si>
  <si>
    <t>December 31,</t>
  </si>
  <si>
    <t>Goodwill</t>
  </si>
  <si>
    <t>Other Liabilities</t>
  </si>
  <si>
    <t>Stock-Based Compensation</t>
  </si>
  <si>
    <t>Growth %</t>
  </si>
  <si>
    <t>% of Revenues</t>
  </si>
  <si>
    <t>Cost of Goods Sold</t>
  </si>
  <si>
    <t>Sales, General, &amp; Adminstrative</t>
  </si>
  <si>
    <t>Net Interest Income</t>
  </si>
  <si>
    <t>Other Non-Operating Income</t>
  </si>
  <si>
    <t>Pre-Tax Income (EBT)</t>
  </si>
  <si>
    <t>Income Tax</t>
  </si>
  <si>
    <t>Other Non-Recurring</t>
  </si>
  <si>
    <t>Cash &amp; Equivalents</t>
  </si>
  <si>
    <t>Property, Plant, &amp; Equipment (Net)</t>
  </si>
  <si>
    <t>Other Intangible Assets</t>
  </si>
  <si>
    <t>Tax Payable</t>
  </si>
  <si>
    <t>Accrued Liabilities</t>
  </si>
  <si>
    <t>Deferred Revenue</t>
  </si>
  <si>
    <t>Deferred Tax Liability</t>
  </si>
  <si>
    <t>Capital Leases</t>
  </si>
  <si>
    <t>Paid-in Capital</t>
  </si>
  <si>
    <t>AOCI</t>
  </si>
  <si>
    <t>Treasury Stock</t>
  </si>
  <si>
    <t>Shareholders' Equity</t>
  </si>
  <si>
    <t>-</t>
  </si>
  <si>
    <t>Change in Working Capital</t>
  </si>
  <si>
    <t>Change in Deferred Tax</t>
  </si>
  <si>
    <t>Cash From Operations</t>
  </si>
  <si>
    <t>Cash From Investing</t>
  </si>
  <si>
    <t>Cash From Financing</t>
  </si>
  <si>
    <t>Depreciation &amp; Amortization</t>
  </si>
  <si>
    <t>Property, Plant &amp; Equipment</t>
  </si>
  <si>
    <t>Intangibles</t>
  </si>
  <si>
    <t>Net Issuance of Common Stock</t>
  </si>
  <si>
    <t>Net Issuance of Preferred Stock</t>
  </si>
  <si>
    <t>Net Issuance of Debt</t>
  </si>
  <si>
    <t>Cash Paid for Dividends</t>
  </si>
  <si>
    <t>LIABILITIES &amp; EQUITY</t>
  </si>
  <si>
    <t>Sales, General, &amp; Administrative</t>
  </si>
  <si>
    <t>Plus: Depreciation &amp; Amortization</t>
  </si>
  <si>
    <t>Ending PP&amp;E</t>
  </si>
  <si>
    <t>Beginning PP&amp;E</t>
  </si>
  <si>
    <t>Non-Cash Net Working Capital (NWC) Schedule</t>
  </si>
  <si>
    <t>Non-Cash Net Working Capital (NWC) Assumptions</t>
  </si>
  <si>
    <t>Accured &amp; Other Current Liabilities</t>
  </si>
  <si>
    <t>Accured &amp; Other Current Liabilities % of Revenue</t>
  </si>
  <si>
    <t>Tax Payable % of Revenue</t>
  </si>
  <si>
    <t>Other Current Assets % of Revenue</t>
  </si>
  <si>
    <t>Forecast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</si>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</sst>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0_);_(\(#,##0\);_(&quot;-&quot;??_);_(@_)"/>
    <numFmt numFmtId="165" formatCode="0.0%"/>
    <numFmt numFmtId="166" formatCode="_(#,##0.00_);_(\(#,##0.00\);_(&quot;-&quot;??_);_(@_)"/>
    <numFmt numFmtId="167" formatCode="0.0"/>
    <numFmt numFmtId="168" formatCode="_(#,##0_);_(\(#,##0\);_(&quot;-&quot;??_);_(@_)\ "/>
    <numFmt numFmtId="169" formatCode="####\A"/>
    <numFmt numFmtId="170" formatCode="####\P"/>
  </numFmts>
  <fonts count="32" x14ac:knownFonts="1">
    <font>
      <sz val="10"/>
      <color theme="1"/>
      <name val="karla"/>
      <family val="2"/>
    </font>
    <font>
      <sz val="10"/>
      <color theme="1"/>
      <name val="karla"/>
      <family val="2"/>
    </font>
    <font>
      <b/>
      <sz val="10"/>
      <color theme="0"/>
      <name val="karla"/>
      <family val="2"/>
    </font>
    <font>
      <b/>
      <sz val="10"/>
      <color theme="1"/>
      <name val="karla"/>
      <family val="2"/>
    </font>
    <font>
      <sz val="10"/>
      <color theme="0"/>
      <name val="karla"/>
      <family val="2"/>
    </font>
    <font>
      <sz val="10"/>
      <color rgb="FF363BE3"/>
      <name val="karla"/>
      <family val="2"/>
    </font>
    <font>
      <b/>
      <sz val="14"/>
      <color theme="0"/>
      <name val="Karla"/>
      <family val="2"/>
    </font>
    <font>
      <b/>
      <sz val="10"/>
      <name val="Karla"/>
      <family val="2"/>
    </font>
    <font>
      <b/>
      <sz val="10"/>
      <color rgb="FF2D2D2D"/>
      <name val="Karla"/>
      <family val="2"/>
    </font>
    <font>
      <sz val="10"/>
      <color rgb="FF000000"/>
      <name val="Karla"/>
      <family val="2"/>
    </font>
    <font>
      <b/>
      <sz val="10"/>
      <color rgb="FF000000"/>
      <name val="Karla"/>
      <family val="2"/>
    </font>
    <font>
      <sz val="8"/>
      <color rgb="FF000000"/>
      <name val="Karla"/>
      <family val="2"/>
    </font>
    <font>
      <b/>
      <sz val="8"/>
      <color theme="0"/>
      <name val="karla"/>
      <family val="2"/>
    </font>
    <font>
      <sz val="10"/>
      <name val="karla"/>
      <family val="2"/>
    </font>
    <font>
      <sz val="14"/>
      <color theme="0"/>
      <name val="Karla"/>
      <family val="2"/>
    </font>
    <font>
      <sz val="8"/>
      <color theme="0"/>
      <name val="Karla"/>
      <family val="2"/>
    </font>
    <font>
      <b/>
      <sz val="16"/>
      <color theme="1"/>
      <name val="karla"/>
      <family val="2"/>
    </font>
    <font>
      <b/>
      <sz val="12"/>
      <name val="Karla"/>
      <family val="2"/>
    </font>
    <font>
      <b/>
      <sz val="12"/>
      <color theme="0"/>
      <name val="Karla"/>
      <family val="2"/>
    </font>
    <font>
      <sz val="10"/>
      <color rgb="FF2D2D2D"/>
      <name val="Karla"/>
      <family val="2"/>
    </font>
    <font>
      <i/>
      <sz val="8"/>
      <name val="Karla"/>
      <family val="2"/>
    </font>
    <font>
      <sz val="10"/>
      <color theme="9" tint="-0.499984740745262"/>
      <name val="karla"/>
      <family val="2"/>
    </font>
    <font>
      <b/>
      <sz val="10"/>
      <color theme="9" tint="-0.24994659260841701"/>
      <name val="Karla"/>
      <family val="2"/>
    </font>
    <font>
      <i/>
      <sz val="8"/>
      <color rgb="FF2D2D2D"/>
      <name val="Karla"/>
      <family val="2"/>
    </font>
    <font>
      <sz val="10"/>
      <color theme="9" tint="-0.24994659260841701"/>
      <name val="Karla"/>
      <family val="2"/>
    </font>
    <font>
      <sz val="10"/>
      <color theme="9" tint="-0.249977111117893"/>
      <name val="karla"/>
      <family val="2"/>
    </font>
    <font>
      <i/>
      <sz val="10"/>
      <color rgb="FF000000"/>
      <name val="Karla"/>
      <family val="2"/>
    </font>
    <font>
      <b/>
      <i/>
      <sz val="10"/>
      <color rgb="FF000000"/>
      <name val="karla"/>
      <family val="2"/>
    </font>
    <font>
      <b/>
      <i/>
      <sz val="10"/>
      <color theme="1"/>
      <name val="karla"/>
      <family val="2"/>
    </font>
    <font>
      <b/>
      <sz val="10"/>
      <color theme="9" tint="-0.249977111117893"/>
      <name val="Karla"/>
      <family val="2"/>
    </font>
    <font>
      <i/>
      <sz val="10"/>
      <color rgb="FF513C0C"/>
      <name val="Karla"/>
      <family val="2"/>
    </font>
    <font>
      <b/>
      <i/>
      <sz val="10"/>
      <color rgb="FF513C0C"/>
      <name val="Karla"/>
      <family val="2"/>
    </font>
  </fonts>
  <fills count="9">
    <fill>
      <patternFill patternType="none"/>
    </fill>
    <fill>
      <patternFill patternType="gray125"/>
    </fill>
    <fill>
      <patternFill patternType="solid">
        <fgColor rgb="FFFFFCCA"/>
        <bgColor indexed="64"/>
      </patternFill>
    </fill>
    <fill>
      <patternFill patternType="solid">
        <fgColor rgb="FFDAA520"/>
        <bgColor indexed="64"/>
      </patternFill>
    </fill>
    <fill>
      <patternFill patternType="solid">
        <fgColor rgb="FFFDF9F1"/>
        <bgColor indexed="64"/>
      </patternFill>
    </fill>
    <fill>
      <patternFill patternType="solid">
        <fgColor rgb="FFFAF9F8"/>
        <bgColor indexed="64"/>
      </patternFill>
    </fill>
    <fill>
      <patternFill patternType="solid">
        <fgColor rgb="FFFAF9F8"/>
        <bgColor rgb="FFD9E2F3"/>
      </patternFill>
    </fill>
    <fill>
      <patternFill patternType="solid">
        <fgColor rgb="FFFAF9F8"/>
        <bgColor rgb="FFE7E6E6"/>
      </patternFill>
    </fill>
    <fill>
      <patternFill patternType="solid">
        <fgColor theme="0"/>
        <bgColor indexed="64"/>
      </patternFill>
    </fill>
  </fills>
  <borders count="28">
    <border>
      <left/>
      <right/>
      <top/>
      <bottom/>
      <diagonal/>
    </border>
    <border>
      <left style="thin">
        <color rgb="FFDAA520"/>
      </left>
      <right style="thin">
        <color rgb="FFDAA520"/>
      </right>
      <top style="thin">
        <color rgb="FFDAA520"/>
      </top>
      <bottom style="thin">
        <color rgb="FFDAA520"/>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top/>
      <bottom style="thin">
        <color rgb="FF000000"/>
      </bottom>
      <diagonal/>
    </border>
    <border>
      <left/>
      <right style="hair">
        <color indexed="64"/>
      </right>
      <top style="thin">
        <color indexed="64"/>
      </top>
      <bottom style="double">
        <color indexed="64"/>
      </bottom>
      <diagonal/>
    </border>
    <border>
      <left/>
      <right style="hair">
        <color indexed="64"/>
      </right>
      <top style="double">
        <color indexed="64"/>
      </top>
      <bottom style="double">
        <color indexed="64"/>
      </bottom>
      <diagonal/>
    </border>
    <border>
      <left/>
      <right/>
      <top style="double">
        <color indexed="64"/>
      </top>
      <bottom style="double">
        <color indexed="64"/>
      </bottom>
      <diagonal/>
    </border>
    <border>
      <left style="hair">
        <color indexed="64"/>
      </left>
      <right/>
      <top/>
      <bottom style="medium">
        <color indexed="64"/>
      </bottom>
      <diagonal/>
    </border>
    <border>
      <left style="hair">
        <color indexed="64"/>
      </left>
      <right/>
      <top/>
      <bottom/>
      <diagonal/>
    </border>
    <border>
      <left/>
      <right style="thin">
        <color rgb="FFDAA520"/>
      </right>
      <top style="thin">
        <color rgb="FFDAA520"/>
      </top>
      <bottom style="thin">
        <color rgb="FFDAA520"/>
      </bottom>
      <diagonal/>
    </border>
    <border>
      <left/>
      <right style="hair">
        <color indexed="64"/>
      </right>
      <top style="medium">
        <color indexed="64"/>
      </top>
      <bottom/>
      <diagonal/>
    </border>
    <border>
      <left/>
      <right/>
      <top style="thin">
        <color rgb="FF000000"/>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diagonal/>
    </border>
    <border>
      <left style="hair">
        <color rgb="FF513C0C"/>
      </left>
      <right style="hair">
        <color rgb="FF513C0C"/>
      </right>
      <top style="hair">
        <color rgb="FF513C0C"/>
      </top>
      <bottom style="hair">
        <color rgb="FF513C0C"/>
      </bottom>
      <diagonal/>
    </border>
  </borders>
  <cellStyleXfs count="8">
    <xf numFmtId="0" fontId="0" fillId="0" borderId="0"/>
    <xf numFmtId="9" fontId="1" fillId="0" borderId="0" applyFont="0" applyFill="0" applyBorder="0" applyAlignment="0" applyProtection="0"/>
    <xf numFmtId="0" fontId="5" fillId="2" borderId="1" applyNumberFormat="0" applyAlignment="0" applyProtection="0">
      <alignment horizontal="center"/>
      <protection locked="0"/>
    </xf>
    <xf numFmtId="0" fontId="2" fillId="3" borderId="0" applyNumberFormat="0" applyFont="0" applyBorder="0" applyAlignment="0">
      <alignment horizontal="center"/>
    </xf>
    <xf numFmtId="0" fontId="7" fillId="4" borderId="0" applyNumberFormat="0" applyFont="0" applyBorder="0" applyAlignment="0">
      <alignment horizontal="center"/>
    </xf>
    <xf numFmtId="3" fontId="21" fillId="0" borderId="0" applyNumberFormat="0" applyFill="0" applyBorder="0" applyAlignment="0">
      <alignment horizontal="center"/>
    </xf>
    <xf numFmtId="0" fontId="5" fillId="5" borderId="1" applyNumberFormat="0" applyAlignment="0" applyProtection="0">
      <alignment horizontal="center"/>
    </xf>
    <xf numFmtId="0" fontId="1" fillId="5" borderId="27"/>
  </cellStyleXfs>
  <cellXfs count="227">
    <xf numFmtId="0" fontId="0" fillId="0" borderId="0" xfId="0"/>
    <xf numFmtId="0" fontId="3" fillId="0" borderId="0" xfId="0" applyFont="1"/>
    <xf numFmtId="164" fontId="0" fillId="0" borderId="0" xfId="0" applyNumberFormat="1"/>
    <xf numFmtId="0" fontId="6" fillId="3" borderId="0" xfId="3" applyFont="1" applyAlignment="1">
      <alignment vertical="center"/>
    </xf>
    <xf numFmtId="0" fontId="8" fillId="4" borderId="0" xfId="4" applyFont="1" applyAlignment="1"/>
    <xf numFmtId="0" fontId="3" fillId="0" borderId="3" xfId="0" applyFont="1" applyBorder="1"/>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0" borderId="4" xfId="0" applyFont="1" applyBorder="1" applyAlignment="1">
      <alignment horizontal="left" vertical="center"/>
    </xf>
    <xf numFmtId="0" fontId="10" fillId="4" borderId="2" xfId="0" applyFont="1" applyFill="1" applyBorder="1" applyAlignment="1">
      <alignment horizontal="left" vertical="center"/>
    </xf>
    <xf numFmtId="0" fontId="10" fillId="4" borderId="2" xfId="0" applyFont="1" applyFill="1" applyBorder="1" applyAlignment="1">
      <alignment vertical="center"/>
    </xf>
    <xf numFmtId="0" fontId="10" fillId="4" borderId="2" xfId="0" applyFont="1" applyFill="1" applyBorder="1" applyAlignment="1">
      <alignment horizontal="right" vertical="center"/>
    </xf>
    <xf numFmtId="0" fontId="6" fillId="3" borderId="0" xfId="0" applyFont="1" applyFill="1"/>
    <xf numFmtId="0" fontId="2" fillId="3" borderId="0" xfId="0" applyFont="1" applyFill="1"/>
    <xf numFmtId="0" fontId="12" fillId="4" borderId="2" xfId="0" applyFont="1" applyFill="1" applyBorder="1"/>
    <xf numFmtId="0" fontId="11" fillId="4" borderId="2" xfId="0" applyFont="1" applyFill="1" applyBorder="1" applyAlignment="1">
      <alignment horizontal="left" vertical="center"/>
    </xf>
    <xf numFmtId="0" fontId="13" fillId="0" borderId="0" xfId="0" applyFont="1"/>
    <xf numFmtId="0" fontId="7"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vertical="top"/>
    </xf>
    <xf numFmtId="0" fontId="2" fillId="4" borderId="2" xfId="0" applyFont="1" applyFill="1" applyBorder="1"/>
    <xf numFmtId="0" fontId="7" fillId="4" borderId="2" xfId="0" applyFont="1" applyFill="1" applyBorder="1" applyAlignment="1">
      <alignment horizontal="left" vertical="center"/>
    </xf>
    <xf numFmtId="0" fontId="7" fillId="0" borderId="0" xfId="0" applyFont="1"/>
    <xf numFmtId="0" fontId="4" fillId="3" borderId="0" xfId="0" applyFont="1" applyFill="1"/>
    <xf numFmtId="0" fontId="4" fillId="4" borderId="2" xfId="0" applyFont="1" applyFill="1" applyBorder="1"/>
    <xf numFmtId="0" fontId="7" fillId="0" borderId="3" xfId="0" applyFont="1" applyBorder="1" applyAlignment="1">
      <alignment horizontal="left" vertical="center"/>
    </xf>
    <xf numFmtId="0" fontId="7" fillId="0" borderId="4" xfId="0" applyFont="1" applyBorder="1" applyAlignment="1">
      <alignment horizontal="left" vertical="center"/>
    </xf>
    <xf numFmtId="3" fontId="13" fillId="0" borderId="0" xfId="0" applyNumberFormat="1" applyFont="1"/>
    <xf numFmtId="164" fontId="13" fillId="0" borderId="0" xfId="0" applyNumberFormat="1" applyFont="1" applyAlignment="1">
      <alignment horizontal="right" vertical="center"/>
    </xf>
    <xf numFmtId="164" fontId="7" fillId="0" borderId="3" xfId="0" applyNumberFormat="1" applyFont="1" applyBorder="1" applyAlignment="1">
      <alignment horizontal="right" vertical="center"/>
    </xf>
    <xf numFmtId="164" fontId="13" fillId="0" borderId="0" xfId="0" applyNumberFormat="1" applyFont="1"/>
    <xf numFmtId="164" fontId="7" fillId="0" borderId="4" xfId="0" applyNumberFormat="1" applyFont="1" applyBorder="1" applyAlignment="1">
      <alignment horizontal="right" vertical="center"/>
    </xf>
    <xf numFmtId="164" fontId="13" fillId="0" borderId="0" xfId="0" applyNumberFormat="1" applyFont="1" applyAlignment="1">
      <alignment horizontal="left" vertical="center"/>
    </xf>
    <xf numFmtId="164" fontId="13" fillId="0" borderId="0" xfId="0" applyNumberFormat="1" applyFont="1" applyAlignment="1">
      <alignment horizontal="center"/>
    </xf>
    <xf numFmtId="164" fontId="9" fillId="0" borderId="0" xfId="0" applyNumberFormat="1" applyFont="1" applyAlignment="1">
      <alignment horizontal="right" vertical="center"/>
    </xf>
    <xf numFmtId="164" fontId="10" fillId="0" borderId="3" xfId="0" applyNumberFormat="1" applyFont="1" applyBorder="1" applyAlignment="1">
      <alignment horizontal="right" vertical="center"/>
    </xf>
    <xf numFmtId="164" fontId="9" fillId="0" borderId="0" xfId="0" applyNumberFormat="1" applyFont="1" applyAlignment="1">
      <alignment horizontal="left" vertical="center"/>
    </xf>
    <xf numFmtId="164" fontId="9" fillId="0" borderId="0" xfId="0" applyNumberFormat="1" applyFont="1" applyAlignment="1">
      <alignment vertical="center"/>
    </xf>
    <xf numFmtId="164" fontId="9" fillId="0" borderId="0" xfId="0" applyNumberFormat="1" applyFont="1"/>
    <xf numFmtId="164" fontId="10" fillId="0" borderId="0" xfId="0" applyNumberFormat="1" applyFont="1" applyAlignment="1">
      <alignment horizontal="right" vertical="center"/>
    </xf>
    <xf numFmtId="164" fontId="10" fillId="0" borderId="4" xfId="0" applyNumberFormat="1" applyFont="1" applyBorder="1" applyAlignment="1">
      <alignment horizontal="right" vertical="center"/>
    </xf>
    <xf numFmtId="166" fontId="9"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vertical="top"/>
    </xf>
    <xf numFmtId="0" fontId="14" fillId="3" borderId="0" xfId="0" applyFont="1" applyFill="1"/>
    <xf numFmtId="0" fontId="15" fillId="4" borderId="2" xfId="0" applyFont="1" applyFill="1" applyBorder="1"/>
    <xf numFmtId="0" fontId="13" fillId="0" borderId="0" xfId="0" applyFont="1" applyAlignment="1">
      <alignment horizontal="left"/>
    </xf>
    <xf numFmtId="164" fontId="7" fillId="0" borderId="0" xfId="0" applyNumberFormat="1" applyFont="1" applyAlignment="1">
      <alignment horizontal="right" vertical="center"/>
    </xf>
    <xf numFmtId="0" fontId="7" fillId="0" borderId="4" xfId="0" applyFont="1" applyBorder="1"/>
    <xf numFmtId="0" fontId="7" fillId="0" borderId="4" xfId="0" applyFont="1" applyBorder="1" applyAlignment="1">
      <alignment vertical="top"/>
    </xf>
    <xf numFmtId="9" fontId="3" fillId="0" borderId="0" xfId="1" applyFont="1" applyFill="1" applyBorder="1" applyAlignment="1"/>
    <xf numFmtId="165" fontId="3" fillId="0" borderId="0" xfId="1" applyNumberFormat="1" applyFont="1" applyFill="1" applyBorder="1" applyAlignment="1"/>
    <xf numFmtId="164" fontId="3" fillId="0" borderId="0" xfId="0" applyNumberFormat="1" applyFont="1"/>
    <xf numFmtId="0" fontId="0" fillId="4" borderId="0" xfId="0" applyFill="1"/>
    <xf numFmtId="0" fontId="0" fillId="5" borderId="5" xfId="0" applyFill="1" applyBorder="1"/>
    <xf numFmtId="0" fontId="0" fillId="5" borderId="3" xfId="0" applyFill="1" applyBorder="1"/>
    <xf numFmtId="0" fontId="0" fillId="5" borderId="6" xfId="0" applyFill="1" applyBorder="1"/>
    <xf numFmtId="0" fontId="0" fillId="5" borderId="7" xfId="0" applyFill="1" applyBorder="1" applyAlignment="1">
      <alignment vertical="center"/>
    </xf>
    <xf numFmtId="0" fontId="0" fillId="5" borderId="8" xfId="0" applyFill="1" applyBorder="1" applyAlignment="1">
      <alignment vertical="center"/>
    </xf>
    <xf numFmtId="0" fontId="0" fillId="4" borderId="0" xfId="0" applyFill="1" applyAlignment="1">
      <alignment vertical="center"/>
    </xf>
    <xf numFmtId="0" fontId="0" fillId="5" borderId="7" xfId="0" applyFill="1" applyBorder="1"/>
    <xf numFmtId="0" fontId="0" fillId="5" borderId="0" xfId="0" applyFill="1"/>
    <xf numFmtId="0" fontId="0" fillId="5" borderId="8" xfId="0" applyFill="1" applyBorder="1"/>
    <xf numFmtId="167" fontId="3" fillId="4" borderId="0" xfId="0" applyNumberFormat="1" applyFont="1" applyFill="1" applyAlignment="1">
      <alignment horizontal="center" vertical="center"/>
    </xf>
    <xf numFmtId="14" fontId="0" fillId="5" borderId="0" xfId="0" applyNumberFormat="1" applyFill="1"/>
    <xf numFmtId="0" fontId="17" fillId="5" borderId="0" xfId="3" applyFont="1" applyFill="1" applyAlignment="1">
      <alignment horizontal="centerContinuous" vertical="center"/>
    </xf>
    <xf numFmtId="0" fontId="7" fillId="5" borderId="0" xfId="3" applyFont="1" applyFill="1" applyAlignment="1">
      <alignment horizontal="centerContinuous" vertical="center"/>
    </xf>
    <xf numFmtId="0" fontId="7" fillId="5" borderId="0" xfId="3" quotePrefix="1" applyFont="1" applyFill="1" applyAlignment="1">
      <alignment horizontal="centerContinuous" vertical="center"/>
    </xf>
    <xf numFmtId="0" fontId="0" fillId="5" borderId="0" xfId="0" applyFill="1" applyAlignment="1">
      <alignment vertical="center" wrapText="1"/>
    </xf>
    <xf numFmtId="0" fontId="0" fillId="5" borderId="9" xfId="0" applyFill="1" applyBorder="1"/>
    <xf numFmtId="0" fontId="0" fillId="5" borderId="2" xfId="0" applyFill="1" applyBorder="1"/>
    <xf numFmtId="0" fontId="0" fillId="5" borderId="10" xfId="0" applyFill="1" applyBorder="1"/>
    <xf numFmtId="0" fontId="0" fillId="0" borderId="0" xfId="0" applyAlignment="1">
      <alignment horizontal="left" indent="1"/>
    </xf>
    <xf numFmtId="0" fontId="1" fillId="0" borderId="0" xfId="0" applyFont="1"/>
    <xf numFmtId="0" fontId="18" fillId="3" borderId="0" xfId="3" applyFont="1" applyAlignment="1"/>
    <xf numFmtId="0" fontId="4" fillId="3" borderId="0" xfId="3" applyFont="1" applyAlignment="1"/>
    <xf numFmtId="0" fontId="20" fillId="4" borderId="0" xfId="4" applyFont="1" applyAlignment="1"/>
    <xf numFmtId="0" fontId="8" fillId="4" borderId="11" xfId="4" applyFont="1" applyBorder="1" applyAlignment="1">
      <alignment horizontal="left" vertical="center"/>
    </xf>
    <xf numFmtId="0" fontId="8" fillId="4" borderId="11" xfId="4" applyFont="1" applyBorder="1" applyAlignment="1">
      <alignment horizontal="center"/>
    </xf>
    <xf numFmtId="0" fontId="8" fillId="0" borderId="0" xfId="0" applyFont="1" applyAlignment="1">
      <alignment horizontal="left" vertical="center"/>
    </xf>
    <xf numFmtId="169" fontId="8" fillId="0" borderId="0" xfId="0" applyNumberFormat="1" applyFont="1" applyAlignment="1">
      <alignment horizontal="center"/>
    </xf>
    <xf numFmtId="0" fontId="10" fillId="0" borderId="0" xfId="0" applyFont="1"/>
    <xf numFmtId="164" fontId="22" fillId="0" borderId="0" xfId="5" applyNumberFormat="1" applyFont="1" applyBorder="1" applyAlignment="1">
      <alignment horizontal="right"/>
    </xf>
    <xf numFmtId="164" fontId="22" fillId="0" borderId="13" xfId="5" applyNumberFormat="1" applyFont="1" applyBorder="1" applyAlignment="1">
      <alignment horizontal="right"/>
    </xf>
    <xf numFmtId="168" fontId="3" fillId="0" borderId="0" xfId="0" applyNumberFormat="1" applyFont="1" applyAlignment="1">
      <alignment horizontal="right"/>
    </xf>
    <xf numFmtId="0" fontId="10" fillId="0" borderId="0" xfId="0" applyFont="1" applyAlignment="1">
      <alignment horizontal="left" indent="1"/>
    </xf>
    <xf numFmtId="168" fontId="3" fillId="0" borderId="13" xfId="0" applyNumberFormat="1" applyFont="1" applyBorder="1" applyAlignment="1">
      <alignment horizontal="right"/>
    </xf>
    <xf numFmtId="0" fontId="3" fillId="0" borderId="2" xfId="0" applyFont="1" applyBorder="1"/>
    <xf numFmtId="164" fontId="22" fillId="0" borderId="2" xfId="5" applyNumberFormat="1" applyFont="1" applyBorder="1" applyAlignment="1">
      <alignment horizontal="right"/>
    </xf>
    <xf numFmtId="164" fontId="22" fillId="0" borderId="14" xfId="5" applyNumberFormat="1" applyFont="1" applyBorder="1" applyAlignment="1">
      <alignment horizontal="right"/>
    </xf>
    <xf numFmtId="168" fontId="3" fillId="0" borderId="2" xfId="0" applyNumberFormat="1" applyFont="1" applyBorder="1" applyAlignment="1">
      <alignment horizontal="right"/>
    </xf>
    <xf numFmtId="0" fontId="9" fillId="0" borderId="0" xfId="0" applyFont="1"/>
    <xf numFmtId="168" fontId="1" fillId="0" borderId="0" xfId="0" applyNumberFormat="1" applyFont="1" applyAlignment="1">
      <alignment horizontal="right"/>
    </xf>
    <xf numFmtId="168" fontId="1" fillId="0" borderId="13" xfId="0" applyNumberFormat="1" applyFont="1" applyBorder="1" applyAlignment="1">
      <alignment horizontal="right"/>
    </xf>
    <xf numFmtId="164" fontId="21" fillId="0" borderId="0" xfId="5" applyNumberFormat="1" applyAlignment="1">
      <alignment horizontal="right"/>
    </xf>
    <xf numFmtId="164" fontId="21" fillId="0" borderId="0" xfId="5" applyNumberFormat="1" applyBorder="1" applyAlignment="1">
      <alignment horizontal="right"/>
    </xf>
    <xf numFmtId="164" fontId="21" fillId="0" borderId="13" xfId="5" applyNumberFormat="1" applyBorder="1" applyAlignment="1">
      <alignment horizontal="right"/>
    </xf>
    <xf numFmtId="0" fontId="1" fillId="0" borderId="0" xfId="0" applyFont="1" applyAlignment="1">
      <alignment horizontal="left" vertical="center"/>
    </xf>
    <xf numFmtId="0" fontId="9" fillId="0" borderId="0" xfId="0" applyFont="1" applyAlignment="1">
      <alignment horizontal="left" indent="1"/>
    </xf>
    <xf numFmtId="0" fontId="9" fillId="0" borderId="2" xfId="0" applyFont="1" applyBorder="1" applyAlignment="1">
      <alignment horizontal="left" indent="1"/>
    </xf>
    <xf numFmtId="168" fontId="3" fillId="0" borderId="3" xfId="0" applyNumberFormat="1" applyFont="1" applyBorder="1" applyAlignment="1">
      <alignment horizontal="right"/>
    </xf>
    <xf numFmtId="0" fontId="1" fillId="0" borderId="2" xfId="0" applyFont="1" applyBorder="1"/>
    <xf numFmtId="0" fontId="9" fillId="0" borderId="0" xfId="0" applyFont="1" applyAlignment="1">
      <alignment horizontal="left" indent="2"/>
    </xf>
    <xf numFmtId="168" fontId="1" fillId="0" borderId="0" xfId="0" applyNumberFormat="1" applyFont="1"/>
    <xf numFmtId="0" fontId="1" fillId="0" borderId="0" xfId="0" applyFont="1" applyAlignment="1">
      <alignment horizontal="left" indent="1"/>
    </xf>
    <xf numFmtId="0" fontId="1" fillId="0" borderId="0" xfId="0" applyFont="1" applyAlignment="1">
      <alignment horizontal="left"/>
    </xf>
    <xf numFmtId="0" fontId="3" fillId="0" borderId="4" xfId="0" applyFont="1" applyBorder="1"/>
    <xf numFmtId="168" fontId="3" fillId="0" borderId="4" xfId="0" applyNumberFormat="1" applyFont="1" applyBorder="1" applyAlignment="1">
      <alignment horizontal="right"/>
    </xf>
    <xf numFmtId="0" fontId="3" fillId="0" borderId="4" xfId="0" applyFont="1" applyBorder="1" applyAlignment="1">
      <alignment horizontal="left" indent="1"/>
    </xf>
    <xf numFmtId="0" fontId="2" fillId="3" borderId="0" xfId="3" applyFont="1" applyAlignment="1"/>
    <xf numFmtId="0" fontId="18" fillId="3" borderId="0" xfId="3" applyFont="1" applyAlignment="1">
      <alignment vertical="center"/>
    </xf>
    <xf numFmtId="0" fontId="3" fillId="4" borderId="11" xfId="4" applyFont="1" applyBorder="1" applyAlignment="1"/>
    <xf numFmtId="0" fontId="3" fillId="6" borderId="0" xfId="0" applyFont="1" applyFill="1"/>
    <xf numFmtId="0" fontId="1" fillId="7" borderId="0" xfId="0" applyFont="1" applyFill="1"/>
    <xf numFmtId="0" fontId="1" fillId="7" borderId="0" xfId="0" applyFont="1" applyFill="1" applyAlignment="1">
      <alignment horizontal="left" indent="1"/>
    </xf>
    <xf numFmtId="0" fontId="4" fillId="0" borderId="0" xfId="0" applyFont="1"/>
    <xf numFmtId="0" fontId="1" fillId="5" borderId="0" xfId="0" applyFont="1" applyFill="1"/>
    <xf numFmtId="168" fontId="1" fillId="0" borderId="4" xfId="0" applyNumberFormat="1" applyFont="1" applyBorder="1"/>
    <xf numFmtId="164" fontId="22" fillId="0" borderId="4" xfId="5" applyNumberFormat="1" applyFont="1" applyBorder="1" applyAlignment="1">
      <alignment horizontal="right"/>
    </xf>
    <xf numFmtId="164" fontId="22" fillId="0" borderId="17" xfId="5" applyNumberFormat="1" applyFont="1" applyBorder="1" applyAlignment="1">
      <alignment horizontal="right"/>
    </xf>
    <xf numFmtId="0" fontId="0" fillId="7" borderId="0" xfId="0" applyFill="1"/>
    <xf numFmtId="0" fontId="23" fillId="4" borderId="0" xfId="4" applyFont="1" applyAlignment="1">
      <alignment horizontal="left" vertical="center"/>
    </xf>
    <xf numFmtId="38" fontId="9" fillId="0" borderId="0" xfId="0" applyNumberFormat="1" applyFont="1" applyAlignment="1">
      <alignment horizontal="left"/>
    </xf>
    <xf numFmtId="0" fontId="3" fillId="0" borderId="24" xfId="0" applyFont="1" applyBorder="1"/>
    <xf numFmtId="168" fontId="3" fillId="0" borderId="24" xfId="0" applyNumberFormat="1" applyFont="1" applyBorder="1" applyAlignment="1">
      <alignment horizontal="right"/>
    </xf>
    <xf numFmtId="168" fontId="3" fillId="0" borderId="25" xfId="0" applyNumberFormat="1" applyFont="1" applyBorder="1" applyAlignment="1">
      <alignment horizontal="right"/>
    </xf>
    <xf numFmtId="168" fontId="3" fillId="0" borderId="26" xfId="0" applyNumberFormat="1" applyFont="1" applyBorder="1" applyAlignment="1">
      <alignment horizontal="right"/>
    </xf>
    <xf numFmtId="0" fontId="3" fillId="7" borderId="0" xfId="0" applyFont="1" applyFill="1"/>
    <xf numFmtId="168" fontId="1" fillId="7" borderId="21" xfId="0" applyNumberFormat="1" applyFont="1" applyFill="1" applyBorder="1" applyAlignment="1">
      <alignment horizontal="right"/>
    </xf>
    <xf numFmtId="168" fontId="1" fillId="7" borderId="0" xfId="0" applyNumberFormat="1" applyFont="1" applyFill="1" applyAlignment="1">
      <alignment horizontal="right"/>
    </xf>
    <xf numFmtId="168" fontId="1" fillId="5" borderId="21" xfId="7" applyNumberFormat="1" applyBorder="1" applyAlignment="1">
      <alignment horizontal="right"/>
    </xf>
    <xf numFmtId="168" fontId="1" fillId="5" borderId="0" xfId="7" applyNumberFormat="1" applyBorder="1" applyAlignment="1">
      <alignment horizontal="right"/>
    </xf>
    <xf numFmtId="164" fontId="24" fillId="0" borderId="13" xfId="5" applyNumberFormat="1" applyFont="1" applyBorder="1" applyAlignment="1">
      <alignment horizontal="right"/>
    </xf>
    <xf numFmtId="164" fontId="7" fillId="0" borderId="15" xfId="5" applyNumberFormat="1" applyFont="1" applyBorder="1" applyAlignment="1">
      <alignment horizontal="right"/>
    </xf>
    <xf numFmtId="164" fontId="7" fillId="0" borderId="3" xfId="5" applyNumberFormat="1" applyFont="1" applyBorder="1" applyAlignment="1">
      <alignment horizontal="right"/>
    </xf>
    <xf numFmtId="0" fontId="13" fillId="0" borderId="2" xfId="0" applyFont="1" applyBorder="1" applyAlignment="1">
      <alignment horizontal="left"/>
    </xf>
    <xf numFmtId="164" fontId="24" fillId="0" borderId="14" xfId="5" applyNumberFormat="1" applyFont="1" applyBorder="1" applyAlignment="1">
      <alignment horizontal="right"/>
    </xf>
    <xf numFmtId="164" fontId="24" fillId="0" borderId="0" xfId="5" applyNumberFormat="1" applyFont="1" applyBorder="1" applyAlignment="1">
      <alignment horizontal="right"/>
    </xf>
    <xf numFmtId="164" fontId="7" fillId="0" borderId="0" xfId="5" applyNumberFormat="1" applyFont="1" applyBorder="1" applyAlignment="1">
      <alignment horizontal="right"/>
    </xf>
    <xf numFmtId="164" fontId="24" fillId="0" borderId="2" xfId="5" applyNumberFormat="1" applyFont="1" applyBorder="1" applyAlignment="1">
      <alignment horizontal="right"/>
    </xf>
    <xf numFmtId="164" fontId="13" fillId="5" borderId="0" xfId="5" applyNumberFormat="1" applyFont="1" applyFill="1" applyAlignment="1">
      <alignment horizontal="right"/>
    </xf>
    <xf numFmtId="168" fontId="13" fillId="7" borderId="0" xfId="0" applyNumberFormat="1" applyFont="1" applyFill="1" applyAlignment="1">
      <alignment horizontal="right"/>
    </xf>
    <xf numFmtId="164" fontId="25" fillId="0" borderId="0" xfId="5" applyNumberFormat="1" applyFont="1" applyBorder="1" applyAlignment="1">
      <alignment horizontal="right"/>
    </xf>
    <xf numFmtId="164" fontId="25" fillId="0" borderId="13" xfId="5" applyNumberFormat="1" applyFont="1" applyBorder="1" applyAlignment="1">
      <alignment horizontal="right"/>
    </xf>
    <xf numFmtId="0" fontId="11" fillId="4" borderId="0" xfId="0" applyFont="1" applyFill="1" applyAlignment="1">
      <alignment horizontal="left" vertical="center"/>
    </xf>
    <xf numFmtId="165" fontId="26" fillId="0" borderId="0" xfId="1" applyNumberFormat="1" applyFont="1" applyBorder="1" applyAlignment="1">
      <alignment horizontal="right" vertical="center"/>
    </xf>
    <xf numFmtId="0" fontId="27" fillId="0" borderId="0" xfId="0" applyFont="1" applyAlignment="1">
      <alignment horizontal="left" vertical="center"/>
    </xf>
    <xf numFmtId="0" fontId="28" fillId="0" borderId="0" xfId="0" applyFont="1"/>
    <xf numFmtId="0" fontId="26" fillId="0" borderId="0" xfId="0" applyFont="1" applyAlignment="1">
      <alignment horizontal="left" vertical="center" indent="1"/>
    </xf>
    <xf numFmtId="3" fontId="0" fillId="0" borderId="0" xfId="0" applyNumberFormat="1"/>
    <xf numFmtId="164" fontId="13" fillId="0" borderId="0" xfId="0" applyNumberFormat="1" applyFont="1" applyAlignment="1">
      <alignment horizontal="right"/>
    </xf>
    <xf numFmtId="164" fontId="7" fillId="0" borderId="4" xfId="0" applyNumberFormat="1" applyFont="1" applyBorder="1" applyAlignment="1">
      <alignment horizontal="right" vertical="top"/>
    </xf>
    <xf numFmtId="164" fontId="7" fillId="0" borderId="0" xfId="0" applyNumberFormat="1" applyFont="1" applyAlignment="1">
      <alignment horizontal="right" vertical="top"/>
    </xf>
    <xf numFmtId="164" fontId="7" fillId="0" borderId="4" xfId="0" applyNumberFormat="1" applyFont="1" applyBorder="1" applyAlignment="1">
      <alignment horizontal="right"/>
    </xf>
    <xf numFmtId="164" fontId="29" fillId="0" borderId="15" xfId="5" applyNumberFormat="1" applyFont="1" applyBorder="1" applyAlignment="1">
      <alignment horizontal="right"/>
    </xf>
    <xf numFmtId="164" fontId="29" fillId="0" borderId="3" xfId="5" applyNumberFormat="1" applyFont="1" applyBorder="1" applyAlignment="1">
      <alignment horizontal="right"/>
    </xf>
    <xf numFmtId="169" fontId="3" fillId="4" borderId="11" xfId="4" applyNumberFormat="1" applyFont="1" applyBorder="1" applyAlignment="1">
      <alignment horizontal="right"/>
    </xf>
    <xf numFmtId="169" fontId="3" fillId="4" borderId="12" xfId="4" applyNumberFormat="1" applyFont="1" applyBorder="1" applyAlignment="1">
      <alignment horizontal="right"/>
    </xf>
    <xf numFmtId="170" fontId="3" fillId="4" borderId="11" xfId="4" applyNumberFormat="1" applyFont="1" applyBorder="1" applyAlignment="1">
      <alignment horizontal="right"/>
    </xf>
    <xf numFmtId="169" fontId="3" fillId="0" borderId="0" xfId="0" applyNumberFormat="1" applyFont="1" applyAlignment="1">
      <alignment horizontal="right"/>
    </xf>
    <xf numFmtId="169" fontId="3" fillId="0" borderId="13" xfId="0" applyNumberFormat="1" applyFont="1" applyBorder="1" applyAlignment="1">
      <alignment horizontal="right"/>
    </xf>
    <xf numFmtId="170" fontId="3" fillId="0" borderId="0" xfId="0" applyNumberFormat="1" applyFont="1" applyAlignment="1">
      <alignment horizontal="right"/>
    </xf>
    <xf numFmtId="0" fontId="1" fillId="0" borderId="0" xfId="0" applyFont="1" applyAlignment="1">
      <alignment horizontal="right"/>
    </xf>
    <xf numFmtId="0" fontId="4" fillId="3" borderId="0" xfId="3" applyFont="1" applyAlignment="1">
      <alignment horizontal="right"/>
    </xf>
    <xf numFmtId="169" fontId="3" fillId="6" borderId="0" xfId="0" applyNumberFormat="1" applyFont="1" applyFill="1" applyAlignment="1">
      <alignment horizontal="right"/>
    </xf>
    <xf numFmtId="169" fontId="3" fillId="6" borderId="13" xfId="0" applyNumberFormat="1" applyFont="1" applyFill="1" applyBorder="1" applyAlignment="1">
      <alignment horizontal="right"/>
    </xf>
    <xf numFmtId="170" fontId="3" fillId="6" borderId="0" xfId="0" applyNumberFormat="1" applyFont="1" applyFill="1" applyAlignment="1">
      <alignment horizontal="right"/>
    </xf>
    <xf numFmtId="0" fontId="1" fillId="7" borderId="0" xfId="0" applyFont="1" applyFill="1" applyAlignment="1">
      <alignment horizontal="right"/>
    </xf>
    <xf numFmtId="0" fontId="1" fillId="7" borderId="21" xfId="0" applyFont="1" applyFill="1" applyBorder="1" applyAlignment="1">
      <alignment horizontal="right"/>
    </xf>
    <xf numFmtId="167" fontId="1" fillId="7" borderId="0" xfId="0" applyNumberFormat="1" applyFont="1" applyFill="1" applyAlignment="1">
      <alignment horizontal="right"/>
    </xf>
    <xf numFmtId="167" fontId="13" fillId="7" borderId="21" xfId="0" applyNumberFormat="1" applyFont="1" applyFill="1" applyBorder="1" applyAlignment="1">
      <alignment horizontal="right"/>
    </xf>
    <xf numFmtId="0" fontId="13" fillId="7" borderId="21" xfId="0" applyFont="1" applyFill="1" applyBorder="1" applyAlignment="1">
      <alignment horizontal="right"/>
    </xf>
    <xf numFmtId="165" fontId="1" fillId="7" borderId="0" xfId="0" applyNumberFormat="1" applyFont="1" applyFill="1" applyAlignment="1">
      <alignment horizontal="right"/>
    </xf>
    <xf numFmtId="165" fontId="13" fillId="7" borderId="21" xfId="0" applyNumberFormat="1" applyFont="1" applyFill="1" applyBorder="1" applyAlignment="1">
      <alignment horizontal="right"/>
    </xf>
    <xf numFmtId="0" fontId="1" fillId="5" borderId="0" xfId="0" applyFont="1" applyFill="1" applyAlignment="1">
      <alignment horizontal="right"/>
    </xf>
    <xf numFmtId="0" fontId="1" fillId="5" borderId="21" xfId="0" applyFont="1" applyFill="1" applyBorder="1" applyAlignment="1">
      <alignment horizontal="right"/>
    </xf>
    <xf numFmtId="169" fontId="8" fillId="4" borderId="11" xfId="4" applyNumberFormat="1" applyFont="1" applyBorder="1" applyAlignment="1">
      <alignment horizontal="right"/>
    </xf>
    <xf numFmtId="170" fontId="8" fillId="4" borderId="20" xfId="4" applyNumberFormat="1" applyFont="1" applyBorder="1" applyAlignment="1">
      <alignment horizontal="right"/>
    </xf>
    <xf numFmtId="170" fontId="8" fillId="4" borderId="11" xfId="4" applyNumberFormat="1" applyFont="1" applyBorder="1" applyAlignment="1">
      <alignment horizontal="right"/>
    </xf>
    <xf numFmtId="169" fontId="8" fillId="0" borderId="0" xfId="0" applyNumberFormat="1" applyFont="1" applyAlignment="1">
      <alignment horizontal="right"/>
    </xf>
    <xf numFmtId="169" fontId="8" fillId="0" borderId="23" xfId="0" applyNumberFormat="1" applyFont="1" applyBorder="1" applyAlignment="1">
      <alignment horizontal="right"/>
    </xf>
    <xf numFmtId="170" fontId="8" fillId="0" borderId="0" xfId="0" applyNumberFormat="1" applyFont="1" applyAlignment="1">
      <alignment horizontal="right"/>
    </xf>
    <xf numFmtId="3" fontId="1" fillId="0" borderId="0" xfId="0" applyNumberFormat="1" applyFont="1" applyAlignment="1">
      <alignment horizontal="right"/>
    </xf>
    <xf numFmtId="0" fontId="2" fillId="3" borderId="0" xfId="3" applyFont="1" applyAlignment="1">
      <alignment horizontal="right"/>
    </xf>
    <xf numFmtId="0" fontId="8" fillId="4" borderId="0" xfId="4" applyFont="1" applyAlignment="1">
      <alignment horizontal="right"/>
    </xf>
    <xf numFmtId="0" fontId="19" fillId="4" borderId="0" xfId="4" applyFont="1" applyAlignment="1">
      <alignment horizontal="right"/>
    </xf>
    <xf numFmtId="169" fontId="8" fillId="4" borderId="12" xfId="4" applyNumberFormat="1" applyFont="1" applyBorder="1" applyAlignment="1">
      <alignment horizontal="right"/>
    </xf>
    <xf numFmtId="169" fontId="8" fillId="0" borderId="13" xfId="0" applyNumberFormat="1" applyFont="1" applyBorder="1" applyAlignment="1">
      <alignment horizontal="right"/>
    </xf>
    <xf numFmtId="0" fontId="4" fillId="3" borderId="0" xfId="3" applyFont="1" applyAlignment="1">
      <alignment horizontal="right" vertical="center"/>
    </xf>
    <xf numFmtId="170" fontId="3" fillId="4" borderId="20" xfId="4" applyNumberFormat="1" applyFont="1" applyBorder="1" applyAlignment="1">
      <alignment horizontal="right"/>
    </xf>
    <xf numFmtId="170" fontId="3" fillId="6" borderId="21" xfId="0" applyNumberFormat="1" applyFont="1" applyFill="1" applyBorder="1" applyAlignment="1">
      <alignment horizontal="right"/>
    </xf>
    <xf numFmtId="165" fontId="1" fillId="7" borderId="13" xfId="0" applyNumberFormat="1" applyFont="1" applyFill="1" applyBorder="1" applyAlignment="1">
      <alignment horizontal="right"/>
    </xf>
    <xf numFmtId="165" fontId="5" fillId="2" borderId="22" xfId="1" applyNumberFormat="1" applyFont="1" applyFill="1" applyBorder="1" applyAlignment="1" applyProtection="1">
      <alignment horizontal="right"/>
      <protection locked="0"/>
    </xf>
    <xf numFmtId="165" fontId="5" fillId="2" borderId="1" xfId="1" applyNumberFormat="1" applyFont="1" applyFill="1" applyBorder="1" applyAlignment="1" applyProtection="1">
      <alignment horizontal="right"/>
      <protection locked="0"/>
    </xf>
    <xf numFmtId="165" fontId="13" fillId="7" borderId="0" xfId="0" applyNumberFormat="1" applyFont="1" applyFill="1" applyAlignment="1">
      <alignment horizontal="right"/>
    </xf>
    <xf numFmtId="0" fontId="30" fillId="4" borderId="0" xfId="4" applyFont="1" applyAlignment="1">
      <alignment horizontal="centerContinuous" vertical="center"/>
    </xf>
    <xf numFmtId="0" fontId="31" fillId="4" borderId="0" xfId="4" applyFont="1" applyAlignment="1">
      <alignment horizontal="centerContinuous" vertical="center"/>
    </xf>
    <xf numFmtId="0" fontId="16" fillId="5" borderId="0" xfId="0" applyFont="1" applyFill="1" applyAlignment="1">
      <alignment horizontal="center" vertical="center"/>
    </xf>
    <xf numFmtId="0" fontId="0" fillId="5" borderId="0" xfId="0" applyFill="1" applyAlignment="1">
      <alignment horizontal="center" vertical="center" wrapText="1"/>
    </xf>
    <xf numFmtId="168" fontId="1" fillId="0" borderId="0" xfId="0" applyNumberFormat="1" applyFont="1" applyFill="1" applyAlignment="1">
      <alignment horizontal="right"/>
    </xf>
    <xf numFmtId="165" fontId="13" fillId="0" borderId="0" xfId="1" applyNumberFormat="1" applyFont="1"/>
    <xf numFmtId="164" fontId="3" fillId="0" borderId="0" xfId="0" applyNumberFormat="1" applyFont="1" applyAlignment="1">
      <alignment horizontal="right"/>
    </xf>
    <xf numFmtId="164" fontId="3" fillId="0" borderId="13" xfId="0" applyNumberFormat="1" applyFont="1" applyBorder="1" applyAlignment="1">
      <alignment horizontal="right"/>
    </xf>
    <xf numFmtId="164" fontId="3" fillId="0" borderId="2" xfId="0" applyNumberFormat="1" applyFont="1" applyBorder="1" applyAlignment="1">
      <alignment horizontal="right"/>
    </xf>
    <xf numFmtId="164" fontId="3" fillId="0" borderId="14" xfId="0" applyNumberFormat="1" applyFont="1" applyBorder="1" applyAlignment="1">
      <alignment horizontal="right"/>
    </xf>
    <xf numFmtId="164" fontId="1" fillId="0" borderId="0" xfId="0" applyNumberFormat="1" applyFont="1" applyAlignment="1">
      <alignment horizontal="right"/>
    </xf>
    <xf numFmtId="164" fontId="1" fillId="0" borderId="13" xfId="0" applyNumberFormat="1" applyFont="1" applyBorder="1" applyAlignment="1">
      <alignment horizontal="right"/>
    </xf>
    <xf numFmtId="164" fontId="0" fillId="0" borderId="0" xfId="0" applyNumberFormat="1" applyAlignment="1">
      <alignment horizontal="right"/>
    </xf>
    <xf numFmtId="164" fontId="0" fillId="0" borderId="13" xfId="0" applyNumberFormat="1" applyBorder="1" applyAlignment="1">
      <alignment horizontal="right"/>
    </xf>
    <xf numFmtId="164" fontId="0" fillId="0" borderId="14" xfId="0" applyNumberFormat="1" applyBorder="1" applyAlignment="1">
      <alignment horizontal="right"/>
    </xf>
    <xf numFmtId="164" fontId="1" fillId="0" borderId="2" xfId="0" applyNumberFormat="1" applyFont="1" applyBorder="1" applyAlignment="1">
      <alignment horizontal="right"/>
    </xf>
    <xf numFmtId="164" fontId="1" fillId="0" borderId="14" xfId="0" applyNumberFormat="1" applyFont="1" applyBorder="1" applyAlignment="1">
      <alignment horizontal="right"/>
    </xf>
    <xf numFmtId="164" fontId="3" fillId="0" borderId="3" xfId="0" applyNumberFormat="1" applyFont="1" applyBorder="1" applyAlignment="1">
      <alignment horizontal="right"/>
    </xf>
    <xf numFmtId="164" fontId="3" fillId="0" borderId="15" xfId="0" applyNumberFormat="1" applyFont="1" applyBorder="1" applyAlignment="1">
      <alignment horizontal="right"/>
    </xf>
    <xf numFmtId="164" fontId="1" fillId="0" borderId="0" xfId="0" applyNumberFormat="1" applyFont="1" applyFill="1" applyAlignment="1">
      <alignment horizontal="right"/>
    </xf>
    <xf numFmtId="164" fontId="1" fillId="0" borderId="13" xfId="0" applyNumberFormat="1" applyFont="1" applyFill="1" applyBorder="1" applyAlignment="1">
      <alignment horizontal="right"/>
    </xf>
    <xf numFmtId="164" fontId="3" fillId="0" borderId="4" xfId="0" applyNumberFormat="1" applyFont="1" applyBorder="1" applyAlignment="1">
      <alignment horizontal="right"/>
    </xf>
    <xf numFmtId="164" fontId="3" fillId="0" borderId="17" xfId="0" applyNumberFormat="1" applyFont="1" applyBorder="1" applyAlignment="1">
      <alignment horizontal="right"/>
    </xf>
    <xf numFmtId="164" fontId="3" fillId="0" borderId="18" xfId="0" applyNumberFormat="1" applyFont="1" applyBorder="1" applyAlignment="1">
      <alignment horizontal="right"/>
    </xf>
    <xf numFmtId="164" fontId="3" fillId="0" borderId="19" xfId="0" applyNumberFormat="1" applyFont="1" applyBorder="1" applyAlignment="1">
      <alignment horizontal="right"/>
    </xf>
    <xf numFmtId="168" fontId="1" fillId="0" borderId="16" xfId="0" applyNumberFormat="1" applyFont="1" applyFill="1" applyBorder="1" applyAlignment="1">
      <alignment horizontal="right"/>
    </xf>
    <xf numFmtId="164" fontId="13" fillId="8" borderId="13" xfId="0" applyNumberFormat="1" applyFont="1" applyFill="1" applyBorder="1" applyAlignment="1">
      <alignment horizontal="right"/>
    </xf>
    <xf numFmtId="164" fontId="13" fillId="8" borderId="0" xfId="0" applyNumberFormat="1" applyFont="1" applyFill="1" applyBorder="1" applyAlignment="1">
      <alignment horizontal="right"/>
    </xf>
  </cellXfs>
  <cellStyles count="8">
    <cellStyle name="Dropdown" xfId="6" xr:uid="{BBD3EB26-D69A-4E0A-B198-1DF0A7F600CA}"/>
    <cellStyle name="Header Section" xfId="3" xr:uid="{29CEA9E9-5D62-498B-80C6-74C88E94261A}"/>
    <cellStyle name="Model Input" xfId="2" xr:uid="{84DCEA34-EE2F-47A4-8C23-7A4C96565F12}"/>
    <cellStyle name="Normal" xfId="0" builtinId="0"/>
    <cellStyle name="Optional Input" xfId="7" xr:uid="{F6316574-B815-4168-9646-89E2BE8D1F79}"/>
    <cellStyle name="Percent" xfId="1" builtinId="5"/>
    <cellStyle name="Sheet Tab Reference" xfId="5" xr:uid="{EBB90465-D152-4B3F-99FA-DEC83AA79A7D}"/>
    <cellStyle name="Subheader Section" xfId="4" xr:uid="{BCF6A087-FC7D-4A86-8932-32708906DDAF}"/>
  </cellStyles>
  <dxfs count="0"/>
  <tableStyles count="0" defaultTableStyle="TableStyleMedium2" defaultPivotStyle="PivotStyleLight16"/>
  <colors>
    <mruColors>
      <color rgb="FFFAF9F8"/>
      <color rgb="FFFDF9F1"/>
      <color rgb="FFFFB3B2"/>
      <color rgb="FFDAA520"/>
      <color rgb="FFF4BF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tablebread.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442692</xdr:colOff>
      <xdr:row>6</xdr:row>
      <xdr:rowOff>32177</xdr:rowOff>
    </xdr:from>
    <xdr:to>
      <xdr:col>6</xdr:col>
      <xdr:colOff>257456</xdr:colOff>
      <xdr:row>7</xdr:row>
      <xdr:rowOff>132562</xdr:rowOff>
    </xdr:to>
    <xdr:pic>
      <xdr:nvPicPr>
        <xdr:cNvPr id="2" name="Picture 1">
          <a:hlinkClick xmlns:r="http://schemas.openxmlformats.org/officeDocument/2006/relationships" r:id="rId1"/>
          <a:extLst>
            <a:ext uri="{FF2B5EF4-FFF2-40B4-BE49-F238E27FC236}">
              <a16:creationId xmlns:a16="http://schemas.microsoft.com/office/drawing/2014/main" id="{1845FCF4-3B60-4936-B245-38E66564D1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5317" y="975152"/>
          <a:ext cx="1214939" cy="271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6CA8-22FF-47EC-88E5-6153CFF7AF16}">
  <dimension ref="B2:J23"/>
  <sheetViews>
    <sheetView tabSelected="1" workbookViewId="0">
      <selection activeCell="C3" sqref="C3:I3"/>
    </sheetView>
  </sheetViews>
  <sheetFormatPr defaultColWidth="9" defaultRowHeight="14" x14ac:dyDescent="0.35"/>
  <cols>
    <col min="1" max="1" width="2.58203125" style="57" customWidth="1"/>
    <col min="2" max="2" width="4.58203125" style="57" customWidth="1"/>
    <col min="3" max="3" width="9" style="57"/>
    <col min="4" max="4" width="9.33203125" style="57" bestFit="1" customWidth="1"/>
    <col min="5" max="5" width="9.33203125" style="57" customWidth="1"/>
    <col min="6" max="9" width="9" style="57"/>
    <col min="10" max="10" width="4.58203125" style="57" customWidth="1"/>
    <col min="11" max="16384" width="9" style="57"/>
  </cols>
  <sheetData>
    <row r="2" spans="2:10" x14ac:dyDescent="0.35">
      <c r="B2" s="58"/>
      <c r="C2" s="59"/>
      <c r="D2" s="59"/>
      <c r="E2" s="59"/>
      <c r="F2" s="59"/>
      <c r="G2" s="59"/>
      <c r="H2" s="59"/>
      <c r="I2" s="59"/>
      <c r="J2" s="60"/>
    </row>
    <row r="3" spans="2:10" s="63" customFormat="1" ht="22" x14ac:dyDescent="0.35">
      <c r="B3" s="61"/>
      <c r="C3" s="201" t="s">
        <v>69</v>
      </c>
      <c r="D3" s="201"/>
      <c r="E3" s="201"/>
      <c r="F3" s="201"/>
      <c r="G3" s="201"/>
      <c r="H3" s="201"/>
      <c r="I3" s="201"/>
      <c r="J3" s="62"/>
    </row>
    <row r="4" spans="2:10" ht="4" customHeight="1" x14ac:dyDescent="0.35">
      <c r="B4" s="64"/>
      <c r="C4" s="65"/>
      <c r="D4" s="65"/>
      <c r="E4" s="65"/>
      <c r="F4" s="65"/>
      <c r="G4" s="65"/>
      <c r="H4" s="65"/>
      <c r="I4" s="65"/>
      <c r="J4" s="66"/>
    </row>
    <row r="5" spans="2:10" x14ac:dyDescent="0.35">
      <c r="B5" s="64"/>
      <c r="C5" s="65"/>
      <c r="D5" s="65"/>
      <c r="E5" s="65"/>
      <c r="F5" s="67" t="s">
        <v>29</v>
      </c>
      <c r="G5" s="65"/>
      <c r="H5" s="65"/>
      <c r="I5" s="65"/>
      <c r="J5" s="66"/>
    </row>
    <row r="6" spans="2:10" ht="8.15" customHeight="1" x14ac:dyDescent="0.35">
      <c r="B6" s="64"/>
      <c r="C6" s="65"/>
      <c r="D6" s="65"/>
      <c r="E6" s="65"/>
      <c r="F6" s="65"/>
      <c r="G6" s="65"/>
      <c r="H6" s="65"/>
      <c r="I6" s="65"/>
      <c r="J6" s="66"/>
    </row>
    <row r="7" spans="2:10" x14ac:dyDescent="0.35">
      <c r="B7" s="64"/>
      <c r="C7" s="65"/>
      <c r="D7" s="65"/>
      <c r="E7" s="65"/>
      <c r="F7" s="65"/>
      <c r="G7" s="65"/>
      <c r="H7" s="65"/>
      <c r="I7" s="65"/>
      <c r="J7" s="66"/>
    </row>
    <row r="8" spans="2:10" x14ac:dyDescent="0.35">
      <c r="B8" s="64"/>
      <c r="C8" s="65"/>
      <c r="D8" s="65"/>
      <c r="E8" s="65"/>
      <c r="F8" s="65"/>
      <c r="G8" s="65"/>
      <c r="H8" s="65"/>
      <c r="I8" s="65"/>
      <c r="J8" s="66"/>
    </row>
    <row r="9" spans="2:10" ht="8.15" customHeight="1" x14ac:dyDescent="0.35">
      <c r="B9" s="64"/>
      <c r="C9" s="65"/>
      <c r="D9" s="65"/>
      <c r="E9" s="65"/>
      <c r="F9" s="65"/>
      <c r="G9" s="65"/>
      <c r="H9" s="65"/>
      <c r="I9" s="65"/>
      <c r="J9" s="66"/>
    </row>
    <row r="10" spans="2:10" ht="17" x14ac:dyDescent="0.35">
      <c r="B10" s="64"/>
      <c r="C10" s="68"/>
      <c r="D10" s="68"/>
      <c r="E10" s="68"/>
      <c r="F10" s="69" t="s">
        <v>30</v>
      </c>
      <c r="G10" s="65"/>
      <c r="H10" s="65"/>
      <c r="I10" s="65"/>
      <c r="J10" s="66"/>
    </row>
    <row r="11" spans="2:10" x14ac:dyDescent="0.35">
      <c r="B11" s="64"/>
      <c r="C11" s="65"/>
      <c r="D11" s="65"/>
      <c r="E11" s="65"/>
      <c r="F11" s="70" t="str">
        <f ca="1">CONCATENATE("Copyright ","@",YEAR(TODAY())," StableBread")</f>
        <v>Copyright @2024 StableBread</v>
      </c>
      <c r="G11" s="65"/>
      <c r="H11" s="65"/>
      <c r="I11" s="65"/>
      <c r="J11" s="66"/>
    </row>
    <row r="12" spans="2:10" x14ac:dyDescent="0.35">
      <c r="B12" s="64"/>
      <c r="C12" s="65"/>
      <c r="D12" s="65"/>
      <c r="E12" s="65"/>
      <c r="F12" s="71" t="s">
        <v>31</v>
      </c>
      <c r="G12" s="65"/>
      <c r="H12" s="65"/>
      <c r="I12" s="65"/>
      <c r="J12" s="66"/>
    </row>
    <row r="13" spans="2:10" x14ac:dyDescent="0.35">
      <c r="B13" s="64"/>
      <c r="C13" s="65"/>
      <c r="D13" s="65"/>
      <c r="E13" s="65"/>
      <c r="F13" s="65"/>
      <c r="G13" s="65"/>
      <c r="H13" s="65"/>
      <c r="I13" s="65"/>
      <c r="J13" s="66"/>
    </row>
    <row r="14" spans="2:10" ht="13.5" customHeight="1" x14ac:dyDescent="0.35">
      <c r="B14" s="64"/>
      <c r="C14" s="202" t="s">
        <v>32</v>
      </c>
      <c r="D14" s="202"/>
      <c r="E14" s="202"/>
      <c r="F14" s="202"/>
      <c r="G14" s="202"/>
      <c r="H14" s="202"/>
      <c r="I14" s="202"/>
      <c r="J14" s="66"/>
    </row>
    <row r="15" spans="2:10" x14ac:dyDescent="0.35">
      <c r="B15" s="64"/>
      <c r="C15" s="202"/>
      <c r="D15" s="202"/>
      <c r="E15" s="202"/>
      <c r="F15" s="202"/>
      <c r="G15" s="202"/>
      <c r="H15" s="202"/>
      <c r="I15" s="202"/>
      <c r="J15" s="66"/>
    </row>
    <row r="16" spans="2:10" x14ac:dyDescent="0.35">
      <c r="B16" s="64"/>
      <c r="C16" s="202"/>
      <c r="D16" s="202"/>
      <c r="E16" s="202"/>
      <c r="F16" s="202"/>
      <c r="G16" s="202"/>
      <c r="H16" s="202"/>
      <c r="I16" s="202"/>
      <c r="J16" s="66"/>
    </row>
    <row r="17" spans="2:10" x14ac:dyDescent="0.35">
      <c r="B17" s="64"/>
      <c r="C17" s="202"/>
      <c r="D17" s="202"/>
      <c r="E17" s="202"/>
      <c r="F17" s="202"/>
      <c r="G17" s="202"/>
      <c r="H17" s="202"/>
      <c r="I17" s="202"/>
      <c r="J17" s="66"/>
    </row>
    <row r="18" spans="2:10" x14ac:dyDescent="0.35">
      <c r="B18" s="64"/>
      <c r="C18" s="202"/>
      <c r="D18" s="202"/>
      <c r="E18" s="202"/>
      <c r="F18" s="202"/>
      <c r="G18" s="202"/>
      <c r="H18" s="202"/>
      <c r="I18" s="202"/>
      <c r="J18" s="66"/>
    </row>
    <row r="19" spans="2:10" x14ac:dyDescent="0.35">
      <c r="B19" s="64"/>
      <c r="C19" s="202"/>
      <c r="D19" s="202"/>
      <c r="E19" s="202"/>
      <c r="F19" s="202"/>
      <c r="G19" s="202"/>
      <c r="H19" s="202"/>
      <c r="I19" s="202"/>
      <c r="J19" s="66"/>
    </row>
    <row r="20" spans="2:10" x14ac:dyDescent="0.35">
      <c r="B20" s="64"/>
      <c r="C20" s="202"/>
      <c r="D20" s="202"/>
      <c r="E20" s="202"/>
      <c r="F20" s="202"/>
      <c r="G20" s="202"/>
      <c r="H20" s="202"/>
      <c r="I20" s="202"/>
      <c r="J20" s="66"/>
    </row>
    <row r="21" spans="2:10" x14ac:dyDescent="0.35">
      <c r="B21" s="64"/>
      <c r="C21" s="202"/>
      <c r="D21" s="202"/>
      <c r="E21" s="202"/>
      <c r="F21" s="202"/>
      <c r="G21" s="202"/>
      <c r="H21" s="202"/>
      <c r="I21" s="202"/>
      <c r="J21" s="66"/>
    </row>
    <row r="22" spans="2:10" x14ac:dyDescent="0.35">
      <c r="B22" s="64"/>
      <c r="C22" s="72"/>
      <c r="D22" s="72"/>
      <c r="E22" s="72"/>
      <c r="F22" s="72"/>
      <c r="G22" s="72"/>
      <c r="H22" s="72"/>
      <c r="I22" s="72"/>
      <c r="J22" s="66"/>
    </row>
    <row r="23" spans="2:10" ht="8.15" customHeight="1" x14ac:dyDescent="0.35">
      <c r="B23" s="73"/>
      <c r="C23" s="74"/>
      <c r="D23" s="74"/>
      <c r="E23" s="74"/>
      <c r="F23" s="74"/>
      <c r="G23" s="74"/>
      <c r="H23" s="74"/>
      <c r="I23" s="74"/>
      <c r="J23" s="75"/>
    </row>
  </sheetData>
  <sheetProtection algorithmName="SHA-512" hashValue="p9XM4rsplmUv69qert4LKRrhVQ1ued1heBE8G1rbM5FyA2rc7gz6YDLM/YS+S+aRN5XerTpz9iPwa5BAHuqrxQ==" saltValue="CrAW7yHX0kZq97yxqC6rtw==" spinCount="100000" sheet="1" objects="1" scenarios="1" selectLockedCells="1" selectUnlockedCells="1"/>
  <mergeCells count="2">
    <mergeCell ref="C3:I3"/>
    <mergeCell ref="C14: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7649-6CE9-47D5-A528-B590834704BB}">
  <dimension ref="B2:L40"/>
  <sheetViews>
    <sheetView showGridLines="0" zoomScaleNormal="100" workbookViewId="0">
      <selection activeCell="B6" sqref="B6"/>
    </sheetView>
  </sheetViews>
  <sheetFormatPr defaultColWidth="9" defaultRowHeight="14" x14ac:dyDescent="0.35"/>
  <cols>
    <col min="1" max="1" width="2.58203125" customWidth="1"/>
    <col min="2" max="2" width="42.58203125" customWidth="1"/>
    <col min="3" max="3" width="2.58203125" customWidth="1"/>
    <col min="4" max="8" width="12.58203125" customWidth="1"/>
    <col min="9" max="9" width="2.58203125" customWidth="1"/>
  </cols>
  <sheetData>
    <row r="2" spans="2:8" ht="19.5" x14ac:dyDescent="0.5">
      <c r="B2" s="15" t="s">
        <v>11</v>
      </c>
      <c r="C2" s="15"/>
      <c r="D2" s="15"/>
      <c r="E2" s="15"/>
      <c r="F2" s="15"/>
      <c r="G2" s="15"/>
      <c r="H2" s="15"/>
    </row>
    <row r="3" spans="2:8" x14ac:dyDescent="0.35">
      <c r="B3" s="4" t="str">
        <f>CONCATENATE("Crocs"," (","CROX",")")</f>
        <v>Crocs (CROX)</v>
      </c>
      <c r="C3" s="4"/>
      <c r="D3" s="4"/>
      <c r="E3" s="4"/>
      <c r="F3" s="4"/>
      <c r="G3" s="4"/>
      <c r="H3" s="4"/>
    </row>
    <row r="4" spans="2:8" x14ac:dyDescent="0.35">
      <c r="B4" s="18" t="s">
        <v>2</v>
      </c>
      <c r="C4" s="18"/>
      <c r="D4" s="18"/>
      <c r="E4" s="18"/>
      <c r="F4" s="17"/>
      <c r="G4" s="17"/>
      <c r="H4" s="17"/>
    </row>
    <row r="5" spans="2:8" x14ac:dyDescent="0.35">
      <c r="H5" s="153"/>
    </row>
    <row r="6" spans="2:8" x14ac:dyDescent="0.35">
      <c r="B6" s="12" t="s">
        <v>70</v>
      </c>
      <c r="C6" s="12"/>
      <c r="D6" s="13">
        <f t="shared" ref="D6:F6" si="0">E6-1</f>
        <v>2019</v>
      </c>
      <c r="E6" s="13">
        <f t="shared" si="0"/>
        <v>2020</v>
      </c>
      <c r="F6" s="13">
        <f t="shared" si="0"/>
        <v>2021</v>
      </c>
      <c r="G6" s="13">
        <f>H6-1</f>
        <v>2022</v>
      </c>
      <c r="H6" s="14">
        <v>2023</v>
      </c>
    </row>
    <row r="7" spans="2:8" ht="8" customHeight="1" x14ac:dyDescent="0.35">
      <c r="B7" s="7"/>
      <c r="C7" s="7"/>
      <c r="D7" s="7"/>
      <c r="E7" s="7"/>
      <c r="F7" s="8"/>
      <c r="G7" s="8"/>
      <c r="H7" s="8"/>
    </row>
    <row r="8" spans="2:8" s="1" customFormat="1" x14ac:dyDescent="0.35">
      <c r="B8" s="6" t="s">
        <v>33</v>
      </c>
      <c r="C8" s="6"/>
      <c r="D8" s="43">
        <v>1231</v>
      </c>
      <c r="E8" s="43">
        <v>1386</v>
      </c>
      <c r="F8" s="43">
        <v>2313</v>
      </c>
      <c r="G8" s="43">
        <v>3555</v>
      </c>
      <c r="H8" s="43">
        <v>3962</v>
      </c>
    </row>
    <row r="9" spans="2:8" s="151" customFormat="1" x14ac:dyDescent="0.35">
      <c r="B9" s="152" t="s">
        <v>75</v>
      </c>
      <c r="C9" s="150"/>
      <c r="D9" s="149"/>
      <c r="E9" s="149">
        <f t="shared" ref="E9" si="1">(E8/D8)-1</f>
        <v>0.12591389114541029</v>
      </c>
      <c r="F9" s="149">
        <f t="shared" ref="F9" si="2">(F8/E8)-1</f>
        <v>0.66883116883116878</v>
      </c>
      <c r="G9" s="149">
        <f>(G8/F8)-1</f>
        <v>0.53696498054474717</v>
      </c>
      <c r="H9" s="149">
        <f t="shared" ref="H9" si="3">(H8/G8)-1</f>
        <v>0.11448663853727137</v>
      </c>
    </row>
    <row r="10" spans="2:8" ht="4" customHeight="1" x14ac:dyDescent="0.35">
      <c r="B10" s="8"/>
      <c r="C10" s="8"/>
      <c r="D10" s="40"/>
      <c r="E10" s="40"/>
      <c r="F10" s="40"/>
      <c r="G10" s="40"/>
      <c r="H10" s="41"/>
    </row>
    <row r="11" spans="2:8" x14ac:dyDescent="0.35">
      <c r="B11" s="9" t="s">
        <v>77</v>
      </c>
      <c r="C11" s="9"/>
      <c r="D11" s="39">
        <v>614</v>
      </c>
      <c r="E11" s="39">
        <v>636</v>
      </c>
      <c r="F11" s="39">
        <v>893</v>
      </c>
      <c r="G11" s="39">
        <v>1695</v>
      </c>
      <c r="H11" s="39">
        <v>1752</v>
      </c>
    </row>
    <row r="12" spans="2:8" x14ac:dyDescent="0.35">
      <c r="B12" s="152" t="s">
        <v>76</v>
      </c>
      <c r="C12" s="150"/>
      <c r="D12" s="149">
        <f t="shared" ref="D12:E12" si="4">D11/D$8</f>
        <v>0.49878147847278637</v>
      </c>
      <c r="E12" s="149">
        <f t="shared" si="4"/>
        <v>0.45887445887445888</v>
      </c>
      <c r="F12" s="149">
        <f>F11/F$8</f>
        <v>0.38607868568958065</v>
      </c>
      <c r="G12" s="149">
        <f t="shared" ref="G12:H12" si="5">G11/G$8</f>
        <v>0.47679324894514769</v>
      </c>
      <c r="H12" s="149">
        <f t="shared" si="5"/>
        <v>0.44220090863200406</v>
      </c>
    </row>
    <row r="13" spans="2:8" ht="4" customHeight="1" x14ac:dyDescent="0.35">
      <c r="B13" s="8"/>
      <c r="C13" s="8"/>
      <c r="D13" s="40"/>
      <c r="E13" s="40"/>
      <c r="F13" s="40"/>
      <c r="G13" s="42"/>
      <c r="H13" s="41"/>
    </row>
    <row r="14" spans="2:8" s="1" customFormat="1" x14ac:dyDescent="0.35">
      <c r="B14" s="9" t="s">
        <v>34</v>
      </c>
      <c r="C14" s="9"/>
      <c r="D14" s="39">
        <v>617</v>
      </c>
      <c r="E14" s="39">
        <v>750</v>
      </c>
      <c r="F14" s="39">
        <v>1420</v>
      </c>
      <c r="G14" s="39">
        <v>1860</v>
      </c>
      <c r="H14" s="39">
        <v>2210</v>
      </c>
    </row>
    <row r="15" spans="2:8" s="1" customFormat="1" x14ac:dyDescent="0.35">
      <c r="B15" s="152" t="s">
        <v>76</v>
      </c>
      <c r="C15" s="6"/>
      <c r="D15" s="149">
        <f t="shared" ref="D15:E15" si="6">D14/D$8</f>
        <v>0.50121852152721369</v>
      </c>
      <c r="E15" s="149">
        <f t="shared" si="6"/>
        <v>0.54112554112554112</v>
      </c>
      <c r="F15" s="149">
        <f>F14/F$8</f>
        <v>0.61392131431041941</v>
      </c>
      <c r="G15" s="149">
        <f t="shared" ref="G15" si="7">G14/G$8</f>
        <v>0.52320675105485237</v>
      </c>
      <c r="H15" s="149">
        <f t="shared" ref="H15" si="8">H14/H$8</f>
        <v>0.55779909136799599</v>
      </c>
    </row>
    <row r="16" spans="2:8" ht="4" customHeight="1" x14ac:dyDescent="0.35">
      <c r="B16" s="7"/>
      <c r="C16" s="7"/>
      <c r="D16" s="38"/>
      <c r="E16" s="38"/>
      <c r="F16" s="38"/>
      <c r="G16" s="38"/>
      <c r="H16" s="38"/>
    </row>
    <row r="17" spans="2:12" x14ac:dyDescent="0.35">
      <c r="B17" s="6" t="s">
        <v>43</v>
      </c>
      <c r="C17" s="7"/>
      <c r="D17" s="38"/>
      <c r="E17" s="38"/>
      <c r="F17" s="38"/>
      <c r="G17" s="38"/>
      <c r="H17" s="38"/>
    </row>
    <row r="18" spans="2:12" x14ac:dyDescent="0.35">
      <c r="B18" s="7" t="s">
        <v>78</v>
      </c>
      <c r="C18" s="7"/>
      <c r="D18" s="38">
        <v>488</v>
      </c>
      <c r="E18" s="38">
        <v>515</v>
      </c>
      <c r="F18" s="38">
        <v>737</v>
      </c>
      <c r="G18" s="38">
        <v>1010</v>
      </c>
      <c r="H18" s="38">
        <v>1164</v>
      </c>
    </row>
    <row r="19" spans="2:12" x14ac:dyDescent="0.35">
      <c r="B19" s="10" t="s">
        <v>5</v>
      </c>
      <c r="C19" s="10"/>
      <c r="D19" s="39">
        <v>488</v>
      </c>
      <c r="E19" s="39">
        <v>515</v>
      </c>
      <c r="F19" s="39">
        <v>737</v>
      </c>
      <c r="G19" s="39">
        <v>1010</v>
      </c>
      <c r="H19" s="39">
        <v>1164</v>
      </c>
    </row>
    <row r="20" spans="2:12" x14ac:dyDescent="0.35">
      <c r="B20" s="152" t="s">
        <v>76</v>
      </c>
      <c r="C20" s="6"/>
      <c r="D20" s="149">
        <f t="shared" ref="D20" si="9">D19/D$8</f>
        <v>0.39642567018683994</v>
      </c>
      <c r="E20" s="149">
        <f t="shared" ref="E20" si="10">E19/E$8</f>
        <v>0.37157287157287155</v>
      </c>
      <c r="F20" s="149">
        <f>F19/F$8</f>
        <v>0.31863380890618243</v>
      </c>
      <c r="G20" s="149">
        <f t="shared" ref="G20" si="11">G19/G$8</f>
        <v>0.2841068917018284</v>
      </c>
      <c r="H20" s="149">
        <f t="shared" ref="H20" si="12">H19/H$8</f>
        <v>0.2937910146390712</v>
      </c>
    </row>
    <row r="21" spans="2:12" ht="4" customHeight="1" x14ac:dyDescent="0.35">
      <c r="B21" s="8"/>
      <c r="C21" s="8"/>
      <c r="D21" s="40"/>
      <c r="E21" s="40"/>
      <c r="F21" s="40"/>
      <c r="G21" s="40"/>
      <c r="H21" s="41"/>
    </row>
    <row r="22" spans="2:12" x14ac:dyDescent="0.35">
      <c r="B22" s="9" t="s">
        <v>6</v>
      </c>
      <c r="C22" s="9"/>
      <c r="D22" s="39">
        <v>129</v>
      </c>
      <c r="E22" s="39">
        <v>235</v>
      </c>
      <c r="F22" s="39">
        <v>683</v>
      </c>
      <c r="G22" s="39">
        <v>851</v>
      </c>
      <c r="H22" s="39">
        <v>1046</v>
      </c>
    </row>
    <row r="23" spans="2:12" x14ac:dyDescent="0.35">
      <c r="B23" s="152" t="s">
        <v>76</v>
      </c>
      <c r="C23" s="6"/>
      <c r="D23" s="149">
        <f t="shared" ref="D23" si="13">D22/D$8</f>
        <v>0.10479285134037368</v>
      </c>
      <c r="E23" s="149">
        <f t="shared" ref="E23" si="14">E22/E$8</f>
        <v>0.16955266955266957</v>
      </c>
      <c r="F23" s="149">
        <f>F22/F$8</f>
        <v>0.29528750540423693</v>
      </c>
      <c r="G23" s="149">
        <f t="shared" ref="G23" si="15">G22/G$8</f>
        <v>0.23938115330520393</v>
      </c>
      <c r="H23" s="149">
        <f t="shared" ref="H23" si="16">H22/H$8</f>
        <v>0.26400807672892479</v>
      </c>
    </row>
    <row r="24" spans="2:12" ht="4" customHeight="1" x14ac:dyDescent="0.35">
      <c r="D24" s="2"/>
      <c r="E24" s="2"/>
      <c r="F24" s="2"/>
      <c r="G24" s="2"/>
      <c r="H24" s="2"/>
    </row>
    <row r="25" spans="2:12" x14ac:dyDescent="0.35">
      <c r="B25" t="s">
        <v>79</v>
      </c>
      <c r="D25" s="2">
        <v>-8</v>
      </c>
      <c r="E25" s="2">
        <v>-7</v>
      </c>
      <c r="F25" s="2">
        <v>-21</v>
      </c>
      <c r="G25" s="2">
        <v>-135</v>
      </c>
      <c r="H25" s="2">
        <v>-159</v>
      </c>
    </row>
    <row r="26" spans="2:12" x14ac:dyDescent="0.35">
      <c r="B26" t="s">
        <v>80</v>
      </c>
      <c r="D26" s="2">
        <v>-1</v>
      </c>
      <c r="E26" s="2">
        <v>-22</v>
      </c>
      <c r="F26" s="2">
        <v>2</v>
      </c>
      <c r="G26" s="2">
        <v>3</v>
      </c>
      <c r="H26" s="2">
        <v>-11</v>
      </c>
    </row>
    <row r="27" spans="2:12" s="1" customFormat="1" x14ac:dyDescent="0.35">
      <c r="B27" s="9" t="s">
        <v>81</v>
      </c>
      <c r="C27" s="9"/>
      <c r="D27" s="39">
        <v>119</v>
      </c>
      <c r="E27" s="39">
        <v>207</v>
      </c>
      <c r="F27" s="39">
        <v>664</v>
      </c>
      <c r="G27" s="39">
        <v>719</v>
      </c>
      <c r="H27" s="39">
        <v>876</v>
      </c>
      <c r="J27" s="54"/>
      <c r="K27" s="54"/>
      <c r="L27" s="55"/>
    </row>
    <row r="28" spans="2:12" s="1" customFormat="1" x14ac:dyDescent="0.35">
      <c r="B28" s="152" t="s">
        <v>76</v>
      </c>
      <c r="C28" s="6"/>
      <c r="D28" s="149">
        <f t="shared" ref="D28" si="17">D27/D$8</f>
        <v>9.6669374492282703E-2</v>
      </c>
      <c r="E28" s="149">
        <f t="shared" ref="E28" si="18">E27/E$8</f>
        <v>0.14935064935064934</v>
      </c>
      <c r="F28" s="149">
        <f>F27/F$8</f>
        <v>0.28707306528318199</v>
      </c>
      <c r="G28" s="149">
        <f t="shared" ref="G28" si="19">G27/G$8</f>
        <v>0.20225035161744023</v>
      </c>
      <c r="H28" s="149">
        <f t="shared" ref="H28" si="20">H27/H$8</f>
        <v>0.22110045431600203</v>
      </c>
      <c r="J28" s="54"/>
      <c r="K28" s="54"/>
      <c r="L28" s="55"/>
    </row>
    <row r="29" spans="2:12" s="1" customFormat="1" ht="4" customHeight="1" x14ac:dyDescent="0.35">
      <c r="B29" s="6"/>
      <c r="C29" s="6"/>
      <c r="D29" s="43"/>
      <c r="E29" s="43"/>
      <c r="F29" s="43"/>
      <c r="G29" s="43"/>
      <c r="H29" s="43"/>
    </row>
    <row r="30" spans="2:12" x14ac:dyDescent="0.35">
      <c r="B30" s="7" t="s">
        <v>82</v>
      </c>
      <c r="C30" s="7"/>
      <c r="D30" s="38">
        <v>0</v>
      </c>
      <c r="E30" s="38">
        <v>106</v>
      </c>
      <c r="F30" s="38">
        <v>62</v>
      </c>
      <c r="G30" s="38">
        <v>-178</v>
      </c>
      <c r="H30" s="38">
        <v>-84</v>
      </c>
    </row>
    <row r="31" spans="2:12" x14ac:dyDescent="0.35">
      <c r="B31" s="7" t="s">
        <v>83</v>
      </c>
      <c r="C31" s="7"/>
      <c r="D31" s="38">
        <v>0</v>
      </c>
      <c r="E31" s="38">
        <v>0</v>
      </c>
      <c r="F31" s="38">
        <v>0</v>
      </c>
      <c r="G31" s="38">
        <v>0</v>
      </c>
      <c r="H31" s="38">
        <v>0</v>
      </c>
    </row>
    <row r="32" spans="2:12" s="1" customFormat="1" ht="14.5" thickBot="1" x14ac:dyDescent="0.4">
      <c r="B32" s="11" t="s">
        <v>3</v>
      </c>
      <c r="C32" s="11"/>
      <c r="D32" s="44">
        <v>119</v>
      </c>
      <c r="E32" s="44">
        <v>313</v>
      </c>
      <c r="F32" s="44">
        <v>726</v>
      </c>
      <c r="G32" s="44">
        <v>540</v>
      </c>
      <c r="H32" s="44">
        <v>793</v>
      </c>
      <c r="J32" s="56"/>
    </row>
    <row r="33" spans="2:10" s="1" customFormat="1" ht="14.5" thickTop="1" x14ac:dyDescent="0.35">
      <c r="B33" s="152" t="s">
        <v>76</v>
      </c>
      <c r="C33" s="6"/>
      <c r="D33" s="149">
        <f t="shared" ref="D33" si="21">D32/D$8</f>
        <v>9.6669374492282703E-2</v>
      </c>
      <c r="E33" s="149">
        <f t="shared" ref="E33" si="22">E32/E$8</f>
        <v>0.22582972582972582</v>
      </c>
      <c r="F33" s="149">
        <f>F32/F$8</f>
        <v>0.31387808041504539</v>
      </c>
      <c r="G33" s="149">
        <f t="shared" ref="G33" si="23">G32/G$8</f>
        <v>0.15189873417721519</v>
      </c>
      <c r="H33" s="149">
        <f t="shared" ref="H33" si="24">H32/H$8</f>
        <v>0.20015143866733973</v>
      </c>
      <c r="J33" s="56"/>
    </row>
    <row r="34" spans="2:10" ht="4" customHeight="1" x14ac:dyDescent="0.35">
      <c r="B34" s="7"/>
      <c r="C34" s="7"/>
      <c r="D34" s="42"/>
      <c r="E34" s="42"/>
      <c r="F34" s="42"/>
      <c r="G34" s="42"/>
      <c r="H34" s="42"/>
    </row>
    <row r="35" spans="2:10" x14ac:dyDescent="0.35">
      <c r="B35" s="7" t="s">
        <v>9</v>
      </c>
      <c r="C35" s="7"/>
      <c r="D35" s="45">
        <v>1.7</v>
      </c>
      <c r="E35" s="45">
        <v>4.6399999999999997</v>
      </c>
      <c r="F35" s="45">
        <v>11.62</v>
      </c>
      <c r="G35" s="45">
        <v>8.82</v>
      </c>
      <c r="H35" s="45">
        <v>12.91</v>
      </c>
    </row>
    <row r="36" spans="2:10" x14ac:dyDescent="0.35">
      <c r="B36" s="7" t="s">
        <v>10</v>
      </c>
      <c r="C36" s="7"/>
      <c r="D36" s="45">
        <v>1.66</v>
      </c>
      <c r="E36" s="45">
        <v>4.5599999999999996</v>
      </c>
      <c r="F36" s="45">
        <v>11.39</v>
      </c>
      <c r="G36" s="45">
        <v>8.7100000000000009</v>
      </c>
      <c r="H36" s="45">
        <v>12.79</v>
      </c>
    </row>
    <row r="37" spans="2:10" ht="4" customHeight="1" x14ac:dyDescent="0.35">
      <c r="B37" s="7"/>
      <c r="C37" s="7"/>
      <c r="D37" s="41"/>
      <c r="E37" s="41"/>
      <c r="F37" s="41"/>
      <c r="G37" s="41"/>
      <c r="H37" s="41"/>
    </row>
    <row r="38" spans="2:10" x14ac:dyDescent="0.35">
      <c r="B38" s="7" t="s">
        <v>7</v>
      </c>
      <c r="C38" s="7"/>
      <c r="D38" s="38">
        <v>70</v>
      </c>
      <c r="E38" s="38">
        <v>67</v>
      </c>
      <c r="F38" s="38">
        <v>62</v>
      </c>
      <c r="G38" s="38">
        <v>61</v>
      </c>
      <c r="H38" s="38">
        <v>61</v>
      </c>
    </row>
    <row r="39" spans="2:10" x14ac:dyDescent="0.35">
      <c r="B39" s="7" t="s">
        <v>8</v>
      </c>
      <c r="C39" s="7"/>
      <c r="D39" s="38">
        <v>72</v>
      </c>
      <c r="E39" s="38">
        <v>69</v>
      </c>
      <c r="F39" s="38">
        <v>64</v>
      </c>
      <c r="G39" s="38">
        <v>62</v>
      </c>
      <c r="H39" s="38">
        <v>62</v>
      </c>
    </row>
    <row r="40" spans="2:10" x14ac:dyDescent="0.35">
      <c r="B40" s="7"/>
      <c r="C40" s="7"/>
      <c r="D40" s="7"/>
      <c r="E40" s="7"/>
      <c r="F40" s="38"/>
      <c r="G40" s="38"/>
      <c r="H40" s="38"/>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197C-46CF-47E7-858B-5E8D8A8EA56F}">
  <dimension ref="B2:J45"/>
  <sheetViews>
    <sheetView showGridLines="0" zoomScaleNormal="100" workbookViewId="0">
      <selection activeCell="B6" sqref="B6"/>
    </sheetView>
  </sheetViews>
  <sheetFormatPr defaultColWidth="9" defaultRowHeight="14" x14ac:dyDescent="0.35"/>
  <cols>
    <col min="1" max="1" width="2.58203125" style="19" customWidth="1"/>
    <col min="2" max="2" width="42.58203125" style="19" customWidth="1"/>
    <col min="3" max="3" width="2.58203125" style="19" customWidth="1"/>
    <col min="4" max="8" width="12.58203125" style="19" customWidth="1"/>
    <col min="9" max="9" width="2.58203125" customWidth="1"/>
    <col min="10" max="16384" width="9" style="19"/>
  </cols>
  <sheetData>
    <row r="2" spans="2:8" ht="19.5" x14ac:dyDescent="0.5">
      <c r="B2" s="15" t="s">
        <v>12</v>
      </c>
      <c r="C2" s="15"/>
      <c r="D2" s="15"/>
      <c r="E2" s="15"/>
      <c r="F2" s="15"/>
      <c r="G2" s="16"/>
      <c r="H2" s="27"/>
    </row>
    <row r="3" spans="2:8" x14ac:dyDescent="0.35">
      <c r="B3" s="4" t="str">
        <f>CONCATENATE("Crocs"," (","CROX",")")</f>
        <v>Crocs (CROX)</v>
      </c>
      <c r="C3" s="4"/>
      <c r="D3" s="4"/>
      <c r="E3" s="4"/>
      <c r="F3" s="4"/>
      <c r="G3" s="4"/>
      <c r="H3" s="4"/>
    </row>
    <row r="4" spans="2:8" x14ac:dyDescent="0.35">
      <c r="B4" s="18" t="s">
        <v>13</v>
      </c>
      <c r="C4" s="18"/>
      <c r="D4" s="18"/>
      <c r="E4" s="18"/>
      <c r="F4" s="18"/>
      <c r="G4" s="24"/>
      <c r="H4" s="28"/>
    </row>
    <row r="6" spans="2:8" x14ac:dyDescent="0.35">
      <c r="B6" s="12" t="s">
        <v>71</v>
      </c>
      <c r="C6" s="25"/>
      <c r="D6" s="13">
        <f t="shared" ref="D6:F6" si="0">E6-1</f>
        <v>2019</v>
      </c>
      <c r="E6" s="13">
        <f t="shared" si="0"/>
        <v>2020</v>
      </c>
      <c r="F6" s="13">
        <f t="shared" si="0"/>
        <v>2021</v>
      </c>
      <c r="G6" s="13">
        <f>H6-1</f>
        <v>2022</v>
      </c>
      <c r="H6" s="13">
        <v>2023</v>
      </c>
    </row>
    <row r="7" spans="2:8" ht="8" customHeight="1" x14ac:dyDescent="0.35"/>
    <row r="8" spans="2:8" x14ac:dyDescent="0.35">
      <c r="B8" s="26" t="s">
        <v>21</v>
      </c>
      <c r="C8" s="26"/>
    </row>
    <row r="9" spans="2:8" x14ac:dyDescent="0.35">
      <c r="B9" s="21" t="s">
        <v>84</v>
      </c>
      <c r="C9" s="21"/>
      <c r="D9" s="32">
        <v>108</v>
      </c>
      <c r="E9" s="32">
        <v>136</v>
      </c>
      <c r="F9" s="32">
        <v>213</v>
      </c>
      <c r="G9" s="32">
        <v>192</v>
      </c>
      <c r="H9" s="32">
        <v>149</v>
      </c>
    </row>
    <row r="10" spans="2:8" x14ac:dyDescent="0.35">
      <c r="B10" s="21" t="s">
        <v>23</v>
      </c>
      <c r="C10" s="21"/>
      <c r="D10" s="32">
        <v>118</v>
      </c>
      <c r="E10" s="32">
        <v>163</v>
      </c>
      <c r="F10" s="32">
        <v>217</v>
      </c>
      <c r="G10" s="32">
        <v>329</v>
      </c>
      <c r="H10" s="32">
        <v>331</v>
      </c>
    </row>
    <row r="11" spans="2:8" x14ac:dyDescent="0.35">
      <c r="B11" s="21" t="s">
        <v>4</v>
      </c>
      <c r="C11" s="21"/>
      <c r="D11" s="32">
        <v>172</v>
      </c>
      <c r="E11" s="32">
        <v>175</v>
      </c>
      <c r="F11" s="32">
        <v>214</v>
      </c>
      <c r="G11" s="32">
        <v>472</v>
      </c>
      <c r="H11" s="32">
        <v>385</v>
      </c>
    </row>
    <row r="12" spans="2:8" x14ac:dyDescent="0.35">
      <c r="B12" s="21" t="s">
        <v>14</v>
      </c>
      <c r="C12" s="21"/>
      <c r="D12" s="32">
        <v>27</v>
      </c>
      <c r="E12" s="32">
        <v>19</v>
      </c>
      <c r="F12" s="32">
        <v>23</v>
      </c>
      <c r="G12" s="32">
        <v>34</v>
      </c>
      <c r="H12" s="32">
        <v>45</v>
      </c>
    </row>
    <row r="13" spans="2:8" x14ac:dyDescent="0.35">
      <c r="B13" s="29" t="s">
        <v>15</v>
      </c>
      <c r="C13" s="29"/>
      <c r="D13" s="33">
        <v>425</v>
      </c>
      <c r="E13" s="33">
        <v>493</v>
      </c>
      <c r="F13" s="33">
        <v>667</v>
      </c>
      <c r="G13" s="33">
        <v>1026</v>
      </c>
      <c r="H13" s="33">
        <v>911</v>
      </c>
    </row>
    <row r="14" spans="2:8" ht="4" customHeight="1" x14ac:dyDescent="0.35">
      <c r="D14" s="34"/>
      <c r="E14" s="34"/>
      <c r="F14" s="34"/>
      <c r="G14" s="34"/>
      <c r="H14" s="34"/>
    </row>
    <row r="15" spans="2:8" x14ac:dyDescent="0.35">
      <c r="B15" s="21" t="s">
        <v>85</v>
      </c>
      <c r="C15" s="21"/>
      <c r="D15" s="32">
        <v>230</v>
      </c>
      <c r="E15" s="32">
        <v>225</v>
      </c>
      <c r="F15" s="32">
        <v>269</v>
      </c>
      <c r="G15" s="32">
        <v>421</v>
      </c>
      <c r="H15" s="32">
        <v>526</v>
      </c>
    </row>
    <row r="16" spans="2:8" x14ac:dyDescent="0.35">
      <c r="B16" s="21" t="s">
        <v>72</v>
      </c>
      <c r="C16" s="21"/>
      <c r="D16" s="32">
        <v>2</v>
      </c>
      <c r="E16" s="32">
        <v>2</v>
      </c>
      <c r="F16" s="32">
        <v>2</v>
      </c>
      <c r="G16" s="32">
        <v>715</v>
      </c>
      <c r="H16" s="32">
        <v>712</v>
      </c>
    </row>
    <row r="17" spans="2:8" x14ac:dyDescent="0.35">
      <c r="B17" s="21" t="s">
        <v>86</v>
      </c>
      <c r="C17" s="21"/>
      <c r="D17" s="32">
        <v>47</v>
      </c>
      <c r="E17" s="32">
        <v>38</v>
      </c>
      <c r="F17" s="32">
        <v>29</v>
      </c>
      <c r="G17" s="32">
        <v>1800</v>
      </c>
      <c r="H17" s="32">
        <v>1793</v>
      </c>
    </row>
    <row r="18" spans="2:8" x14ac:dyDescent="0.35">
      <c r="B18" s="21" t="s">
        <v>35</v>
      </c>
      <c r="C18" s="21"/>
      <c r="D18" s="32">
        <v>35</v>
      </c>
      <c r="E18" s="32">
        <v>362</v>
      </c>
      <c r="F18" s="32">
        <v>579</v>
      </c>
      <c r="G18" s="32">
        <v>539</v>
      </c>
      <c r="H18" s="32">
        <v>703</v>
      </c>
    </row>
    <row r="19" spans="2:8" ht="14.5" thickBot="1" x14ac:dyDescent="0.4">
      <c r="B19" s="30" t="s">
        <v>16</v>
      </c>
      <c r="C19" s="30"/>
      <c r="D19" s="35">
        <v>739</v>
      </c>
      <c r="E19" s="35">
        <v>1119</v>
      </c>
      <c r="F19" s="35">
        <v>1545</v>
      </c>
      <c r="G19" s="35">
        <v>4502</v>
      </c>
      <c r="H19" s="35">
        <v>4644</v>
      </c>
    </row>
    <row r="20" spans="2:8" ht="8" customHeight="1" thickTop="1" x14ac:dyDescent="0.35">
      <c r="D20" s="34"/>
      <c r="E20" s="34"/>
      <c r="F20" s="34"/>
      <c r="G20" s="34"/>
      <c r="H20" s="36"/>
    </row>
    <row r="21" spans="2:8" x14ac:dyDescent="0.35">
      <c r="B21" s="20" t="s">
        <v>109</v>
      </c>
      <c r="C21" s="20"/>
      <c r="D21" s="37"/>
      <c r="E21" s="37"/>
      <c r="F21" s="37"/>
      <c r="G21" s="37"/>
      <c r="H21" s="37"/>
    </row>
    <row r="22" spans="2:8" x14ac:dyDescent="0.35">
      <c r="B22" s="21" t="s">
        <v>24</v>
      </c>
      <c r="C22" s="21"/>
      <c r="D22" s="32">
        <v>96</v>
      </c>
      <c r="E22" s="32">
        <v>113</v>
      </c>
      <c r="F22" s="32">
        <v>162</v>
      </c>
      <c r="G22" s="32">
        <v>231</v>
      </c>
      <c r="H22" s="32">
        <v>261</v>
      </c>
    </row>
    <row r="23" spans="2:8" x14ac:dyDescent="0.35">
      <c r="B23" s="21" t="s">
        <v>87</v>
      </c>
      <c r="C23" s="21"/>
      <c r="D23" s="32">
        <v>11</v>
      </c>
      <c r="E23" s="32">
        <v>18</v>
      </c>
      <c r="F23" s="32">
        <v>29</v>
      </c>
      <c r="G23" s="32">
        <v>116</v>
      </c>
      <c r="H23" s="32">
        <v>90</v>
      </c>
    </row>
    <row r="24" spans="2:8" x14ac:dyDescent="0.35">
      <c r="B24" s="21" t="s">
        <v>88</v>
      </c>
      <c r="C24" s="21"/>
      <c r="D24" s="32">
        <v>38</v>
      </c>
      <c r="E24" s="32">
        <v>40</v>
      </c>
      <c r="F24" s="32">
        <v>57</v>
      </c>
      <c r="G24" s="32">
        <v>99</v>
      </c>
      <c r="H24" s="32">
        <v>114</v>
      </c>
    </row>
    <row r="25" spans="2:8" x14ac:dyDescent="0.35">
      <c r="B25" s="21" t="s">
        <v>36</v>
      </c>
      <c r="C25" s="21"/>
      <c r="D25" s="32" t="s">
        <v>96</v>
      </c>
      <c r="E25" s="32" t="s">
        <v>96</v>
      </c>
      <c r="F25" s="32" t="s">
        <v>96</v>
      </c>
      <c r="G25" s="32">
        <v>24</v>
      </c>
      <c r="H25" s="32">
        <v>23</v>
      </c>
    </row>
    <row r="26" spans="2:8" x14ac:dyDescent="0.35">
      <c r="B26" s="21" t="s">
        <v>89</v>
      </c>
      <c r="C26" s="21"/>
      <c r="D26" s="32" t="s">
        <v>96</v>
      </c>
      <c r="E26" s="32" t="s">
        <v>96</v>
      </c>
      <c r="F26" s="32" t="s">
        <v>96</v>
      </c>
      <c r="G26" s="32" t="s">
        <v>96</v>
      </c>
      <c r="H26" s="32" t="s">
        <v>96</v>
      </c>
    </row>
    <row r="27" spans="2:8" x14ac:dyDescent="0.35">
      <c r="B27" s="21" t="s">
        <v>90</v>
      </c>
      <c r="C27" s="21"/>
      <c r="D27" s="32" t="s">
        <v>96</v>
      </c>
      <c r="E27" s="32" t="s">
        <v>96</v>
      </c>
      <c r="F27" s="32" t="s">
        <v>96</v>
      </c>
      <c r="G27" s="32" t="s">
        <v>96</v>
      </c>
      <c r="H27" s="32" t="s">
        <v>96</v>
      </c>
    </row>
    <row r="28" spans="2:8" x14ac:dyDescent="0.35">
      <c r="B28" s="21" t="s">
        <v>17</v>
      </c>
      <c r="C28" s="21"/>
      <c r="D28" s="32">
        <v>64</v>
      </c>
      <c r="E28" s="32">
        <v>74</v>
      </c>
      <c r="F28" s="32">
        <v>97</v>
      </c>
      <c r="G28" s="32">
        <v>114</v>
      </c>
      <c r="H28" s="32">
        <v>148</v>
      </c>
    </row>
    <row r="29" spans="2:8" x14ac:dyDescent="0.35">
      <c r="B29" s="29" t="s">
        <v>18</v>
      </c>
      <c r="C29" s="29"/>
      <c r="D29" s="33">
        <v>257</v>
      </c>
      <c r="E29" s="33">
        <v>292</v>
      </c>
      <c r="F29" s="33">
        <v>388</v>
      </c>
      <c r="G29" s="33">
        <v>641</v>
      </c>
      <c r="H29" s="33">
        <v>698</v>
      </c>
    </row>
    <row r="30" spans="2:8" ht="4" customHeight="1" x14ac:dyDescent="0.35">
      <c r="D30" s="34"/>
      <c r="E30" s="34"/>
      <c r="F30" s="34"/>
      <c r="G30" s="34"/>
      <c r="H30" s="34"/>
    </row>
    <row r="31" spans="2:8" x14ac:dyDescent="0.35">
      <c r="B31" s="21" t="s">
        <v>37</v>
      </c>
      <c r="C31" s="21"/>
      <c r="D31" s="32">
        <v>205</v>
      </c>
      <c r="E31" s="32">
        <v>180</v>
      </c>
      <c r="F31" s="32">
        <v>771</v>
      </c>
      <c r="G31" s="32">
        <v>2298</v>
      </c>
      <c r="H31" s="32">
        <v>1641</v>
      </c>
    </row>
    <row r="32" spans="2:8" x14ac:dyDescent="0.35">
      <c r="B32" s="21" t="s">
        <v>91</v>
      </c>
      <c r="C32" s="21"/>
      <c r="D32" s="32">
        <v>140</v>
      </c>
      <c r="E32" s="32">
        <v>146</v>
      </c>
      <c r="F32" s="32">
        <v>149</v>
      </c>
      <c r="G32" s="32">
        <v>215</v>
      </c>
      <c r="H32" s="32">
        <v>270</v>
      </c>
    </row>
    <row r="33" spans="2:10" x14ac:dyDescent="0.35">
      <c r="B33" s="21" t="s">
        <v>89</v>
      </c>
      <c r="C33" s="21"/>
      <c r="D33" s="32" t="s">
        <v>96</v>
      </c>
      <c r="E33" s="32" t="s">
        <v>96</v>
      </c>
      <c r="F33" s="32">
        <v>0</v>
      </c>
      <c r="G33" s="32">
        <v>302</v>
      </c>
      <c r="H33" s="32">
        <v>13</v>
      </c>
    </row>
    <row r="34" spans="2:10" x14ac:dyDescent="0.35">
      <c r="B34" s="21" t="s">
        <v>73</v>
      </c>
      <c r="C34" s="21"/>
      <c r="D34" s="32">
        <v>5</v>
      </c>
      <c r="E34" s="32">
        <v>210</v>
      </c>
      <c r="F34" s="32">
        <v>222</v>
      </c>
      <c r="G34" s="32">
        <v>227</v>
      </c>
      <c r="H34" s="32">
        <v>568</v>
      </c>
    </row>
    <row r="35" spans="2:10" ht="14.5" thickBot="1" x14ac:dyDescent="0.4">
      <c r="B35" s="30" t="s">
        <v>19</v>
      </c>
      <c r="C35" s="30"/>
      <c r="D35" s="35">
        <v>607</v>
      </c>
      <c r="E35" s="35">
        <v>828</v>
      </c>
      <c r="F35" s="35">
        <v>1531</v>
      </c>
      <c r="G35" s="35">
        <v>3684</v>
      </c>
      <c r="H35" s="35">
        <v>3190</v>
      </c>
    </row>
    <row r="36" spans="2:10" ht="8" customHeight="1" thickTop="1" x14ac:dyDescent="0.35">
      <c r="D36" s="34"/>
      <c r="E36" s="34"/>
      <c r="F36" s="34"/>
      <c r="G36" s="34"/>
      <c r="H36" s="34"/>
    </row>
    <row r="37" spans="2:10" x14ac:dyDescent="0.35">
      <c r="B37" s="21" t="s">
        <v>39</v>
      </c>
      <c r="C37" s="21"/>
      <c r="D37" s="32">
        <v>240</v>
      </c>
      <c r="E37" s="32">
        <v>553</v>
      </c>
      <c r="F37" s="32">
        <v>1279</v>
      </c>
      <c r="G37" s="32">
        <v>1819</v>
      </c>
      <c r="H37" s="32">
        <v>2612</v>
      </c>
    </row>
    <row r="38" spans="2:10" x14ac:dyDescent="0.35">
      <c r="B38" s="21" t="s">
        <v>92</v>
      </c>
      <c r="C38" s="21"/>
      <c r="D38" s="32">
        <v>496</v>
      </c>
      <c r="E38" s="32">
        <v>482</v>
      </c>
      <c r="F38" s="32">
        <v>496</v>
      </c>
      <c r="G38" s="32">
        <v>798</v>
      </c>
      <c r="H38" s="32">
        <v>827</v>
      </c>
    </row>
    <row r="39" spans="2:10" x14ac:dyDescent="0.35">
      <c r="B39" s="21" t="s">
        <v>38</v>
      </c>
      <c r="C39" s="21"/>
      <c r="D39" s="32">
        <v>0</v>
      </c>
      <c r="E39" s="32">
        <v>0</v>
      </c>
      <c r="F39" s="32">
        <v>0</v>
      </c>
      <c r="G39" s="32">
        <v>0</v>
      </c>
      <c r="H39" s="32">
        <v>0</v>
      </c>
      <c r="J39" s="31"/>
    </row>
    <row r="40" spans="2:10" x14ac:dyDescent="0.35">
      <c r="B40" s="21" t="s">
        <v>93</v>
      </c>
      <c r="C40" s="21"/>
      <c r="D40" s="32">
        <v>-58</v>
      </c>
      <c r="E40" s="32">
        <v>-56</v>
      </c>
      <c r="F40" s="32">
        <v>-77</v>
      </c>
      <c r="G40" s="32">
        <v>-103</v>
      </c>
      <c r="H40" s="32">
        <v>-96</v>
      </c>
      <c r="J40" s="31"/>
    </row>
    <row r="41" spans="2:10" x14ac:dyDescent="0.35">
      <c r="B41" s="21" t="s">
        <v>94</v>
      </c>
      <c r="C41" s="21"/>
      <c r="D41" s="32">
        <v>-546</v>
      </c>
      <c r="E41" s="32">
        <v>-689</v>
      </c>
      <c r="F41" s="32">
        <v>-1684</v>
      </c>
      <c r="G41" s="32">
        <v>-1696</v>
      </c>
      <c r="H41" s="32">
        <v>-1889</v>
      </c>
      <c r="J41" s="31"/>
    </row>
    <row r="42" spans="2:10" x14ac:dyDescent="0.35">
      <c r="B42" s="21" t="s">
        <v>40</v>
      </c>
      <c r="C42" s="21"/>
      <c r="D42" s="32">
        <v>0</v>
      </c>
      <c r="E42" s="32">
        <v>0</v>
      </c>
      <c r="F42" s="32">
        <v>0</v>
      </c>
      <c r="G42" s="32">
        <v>0</v>
      </c>
      <c r="H42" s="32">
        <v>0</v>
      </c>
      <c r="J42" s="31"/>
    </row>
    <row r="43" spans="2:10" x14ac:dyDescent="0.35">
      <c r="B43" s="21" t="s">
        <v>95</v>
      </c>
      <c r="C43" s="21"/>
      <c r="D43" s="32">
        <v>132</v>
      </c>
      <c r="E43" s="32">
        <v>291</v>
      </c>
      <c r="F43" s="32">
        <v>14</v>
      </c>
      <c r="G43" s="32">
        <v>818</v>
      </c>
      <c r="H43" s="32">
        <v>1454</v>
      </c>
      <c r="J43" s="31"/>
    </row>
    <row r="44" spans="2:10" ht="14.5" thickBot="1" x14ac:dyDescent="0.4">
      <c r="B44" s="30" t="s">
        <v>20</v>
      </c>
      <c r="C44" s="30"/>
      <c r="D44" s="35">
        <v>739</v>
      </c>
      <c r="E44" s="35">
        <v>1119</v>
      </c>
      <c r="F44" s="35">
        <v>1545</v>
      </c>
      <c r="G44" s="35">
        <v>4502</v>
      </c>
      <c r="H44" s="35">
        <v>4644</v>
      </c>
    </row>
    <row r="45" spans="2:10" ht="14.5" thickTop="1" x14ac:dyDescent="0.35">
      <c r="G45" s="21"/>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DE67-66F0-4DE4-AB29-F9F4C54BDBB3}">
  <dimension ref="B2:W32"/>
  <sheetViews>
    <sheetView showGridLines="0" zoomScale="115" zoomScaleNormal="115" workbookViewId="0">
      <selection activeCell="B6" sqref="B6"/>
    </sheetView>
  </sheetViews>
  <sheetFormatPr defaultColWidth="9" defaultRowHeight="14" x14ac:dyDescent="0.35"/>
  <cols>
    <col min="1" max="1" width="2.58203125" style="19" customWidth="1"/>
    <col min="2" max="2" width="42.58203125" style="19" customWidth="1"/>
    <col min="3" max="3" width="2.58203125" style="19" customWidth="1"/>
    <col min="4" max="8" width="12.58203125" style="19" customWidth="1"/>
    <col min="9" max="9" width="2.58203125" style="19" customWidth="1"/>
    <col min="10" max="16384" width="9" style="19"/>
  </cols>
  <sheetData>
    <row r="2" spans="2:10" ht="19.5" x14ac:dyDescent="0.5">
      <c r="B2" s="15" t="s">
        <v>22</v>
      </c>
      <c r="C2" s="15"/>
      <c r="D2" s="15"/>
      <c r="E2" s="15"/>
      <c r="F2" s="15"/>
      <c r="G2" s="15"/>
      <c r="H2" s="48"/>
    </row>
    <row r="3" spans="2:10" x14ac:dyDescent="0.35">
      <c r="B3" s="4" t="str">
        <f>CONCATENATE("Crocs"," (","CROX",")")</f>
        <v>Crocs (CROX)</v>
      </c>
      <c r="C3" s="4"/>
      <c r="D3" s="4"/>
      <c r="E3" s="4"/>
      <c r="F3" s="4"/>
      <c r="G3" s="4"/>
      <c r="H3" s="4"/>
    </row>
    <row r="4" spans="2:10" x14ac:dyDescent="0.35">
      <c r="B4" s="18" t="s">
        <v>13</v>
      </c>
      <c r="C4" s="18"/>
      <c r="D4" s="18"/>
      <c r="E4" s="18"/>
      <c r="F4" s="17"/>
      <c r="G4" s="17"/>
      <c r="H4" s="49"/>
    </row>
    <row r="5" spans="2:10" x14ac:dyDescent="0.35">
      <c r="B5" s="46"/>
      <c r="C5" s="46"/>
      <c r="D5" s="46"/>
      <c r="E5" s="46"/>
      <c r="F5" s="46"/>
      <c r="G5" s="46"/>
      <c r="H5" s="22"/>
    </row>
    <row r="6" spans="2:10" x14ac:dyDescent="0.35">
      <c r="B6" s="12" t="s">
        <v>70</v>
      </c>
      <c r="C6" s="25"/>
      <c r="D6" s="13">
        <f t="shared" ref="D6:F6" si="0">E6-1</f>
        <v>2019</v>
      </c>
      <c r="E6" s="13">
        <f t="shared" si="0"/>
        <v>2020</v>
      </c>
      <c r="F6" s="13">
        <f t="shared" si="0"/>
        <v>2021</v>
      </c>
      <c r="G6" s="13">
        <f>H6-1</f>
        <v>2022</v>
      </c>
      <c r="H6" s="14">
        <v>2023</v>
      </c>
    </row>
    <row r="7" spans="2:10" ht="8" customHeight="1" x14ac:dyDescent="0.35">
      <c r="B7" s="23"/>
      <c r="C7" s="23"/>
      <c r="D7" s="23"/>
      <c r="E7" s="23"/>
      <c r="F7" s="22"/>
      <c r="G7" s="22"/>
      <c r="H7" s="22"/>
    </row>
    <row r="8" spans="2:10" s="26" customFormat="1" ht="14.5" thickBot="1" x14ac:dyDescent="0.4">
      <c r="B8" s="52" t="s">
        <v>3</v>
      </c>
      <c r="C8" s="30"/>
      <c r="D8" s="35">
        <v>119</v>
      </c>
      <c r="E8" s="35">
        <v>313</v>
      </c>
      <c r="F8" s="35">
        <v>726</v>
      </c>
      <c r="G8" s="35">
        <v>540</v>
      </c>
      <c r="H8" s="35">
        <v>793</v>
      </c>
    </row>
    <row r="9" spans="2:10" s="26" customFormat="1" ht="8" customHeight="1" thickTop="1" x14ac:dyDescent="0.35">
      <c r="C9" s="20"/>
      <c r="D9" s="51"/>
      <c r="E9" s="51"/>
      <c r="F9" s="51"/>
      <c r="G9" s="51"/>
      <c r="H9" s="51"/>
    </row>
    <row r="10" spans="2:10" x14ac:dyDescent="0.35">
      <c r="B10" s="50" t="s">
        <v>102</v>
      </c>
      <c r="C10" s="21"/>
      <c r="D10" s="32">
        <v>24</v>
      </c>
      <c r="E10" s="32">
        <v>28</v>
      </c>
      <c r="F10" s="32">
        <v>32</v>
      </c>
      <c r="G10" s="32">
        <v>39</v>
      </c>
      <c r="H10" s="32">
        <v>54</v>
      </c>
      <c r="J10" s="34"/>
    </row>
    <row r="11" spans="2:10" x14ac:dyDescent="0.35">
      <c r="B11" s="50" t="s">
        <v>97</v>
      </c>
      <c r="D11" s="154">
        <v>-111</v>
      </c>
      <c r="E11" s="154">
        <v>132</v>
      </c>
      <c r="F11" s="32">
        <v>-45</v>
      </c>
      <c r="G11" s="32">
        <v>-92</v>
      </c>
      <c r="H11" s="32">
        <v>367</v>
      </c>
    </row>
    <row r="12" spans="2:10" x14ac:dyDescent="0.35">
      <c r="B12" s="50" t="s">
        <v>98</v>
      </c>
      <c r="C12" s="21"/>
      <c r="D12" s="32">
        <v>-16</v>
      </c>
      <c r="E12" s="32">
        <v>-325</v>
      </c>
      <c r="F12" s="32">
        <v>-241</v>
      </c>
      <c r="G12" s="32">
        <v>-5</v>
      </c>
      <c r="H12" s="32">
        <v>-410</v>
      </c>
    </row>
    <row r="13" spans="2:10" x14ac:dyDescent="0.35">
      <c r="B13" s="50" t="s">
        <v>74</v>
      </c>
      <c r="C13" s="21"/>
      <c r="D13" s="32">
        <v>14</v>
      </c>
      <c r="E13" s="32">
        <v>16</v>
      </c>
      <c r="F13" s="32">
        <v>38</v>
      </c>
      <c r="G13" s="32">
        <v>31</v>
      </c>
      <c r="H13" s="32">
        <v>29</v>
      </c>
    </row>
    <row r="14" spans="2:10" x14ac:dyDescent="0.35">
      <c r="B14" s="50" t="s">
        <v>40</v>
      </c>
      <c r="C14" s="21"/>
      <c r="D14" s="32">
        <v>59</v>
      </c>
      <c r="E14" s="32">
        <v>103</v>
      </c>
      <c r="F14" s="32">
        <v>57</v>
      </c>
      <c r="G14" s="32">
        <v>89</v>
      </c>
      <c r="H14" s="32">
        <v>98</v>
      </c>
    </row>
    <row r="15" spans="2:10" ht="14.5" thickBot="1" x14ac:dyDescent="0.4">
      <c r="B15" s="52" t="s">
        <v>99</v>
      </c>
      <c r="C15" s="53"/>
      <c r="D15" s="155">
        <v>90</v>
      </c>
      <c r="E15" s="155">
        <v>267</v>
      </c>
      <c r="F15" s="35">
        <v>567</v>
      </c>
      <c r="G15" s="35">
        <v>603</v>
      </c>
      <c r="H15" s="35">
        <v>930</v>
      </c>
    </row>
    <row r="16" spans="2:10" ht="8" customHeight="1" thickTop="1" x14ac:dyDescent="0.35">
      <c r="C16" s="21"/>
      <c r="D16" s="32"/>
      <c r="E16" s="32"/>
      <c r="F16" s="154"/>
      <c r="G16" s="154"/>
      <c r="H16" s="154"/>
    </row>
    <row r="17" spans="2:23" x14ac:dyDescent="0.35">
      <c r="B17" s="19" t="s">
        <v>103</v>
      </c>
      <c r="C17" s="21"/>
      <c r="D17" s="32">
        <v>-36</v>
      </c>
      <c r="E17" s="32">
        <v>-42</v>
      </c>
      <c r="F17" s="32">
        <v>-56</v>
      </c>
      <c r="G17" s="32">
        <v>-104</v>
      </c>
      <c r="H17" s="32">
        <v>-116</v>
      </c>
    </row>
    <row r="18" spans="2:23" x14ac:dyDescent="0.35">
      <c r="B18" s="19" t="s">
        <v>27</v>
      </c>
      <c r="D18" s="154" t="s">
        <v>96</v>
      </c>
      <c r="E18" s="154" t="s">
        <v>96</v>
      </c>
      <c r="F18" s="32" t="s">
        <v>96</v>
      </c>
      <c r="G18" s="32">
        <v>-2047</v>
      </c>
      <c r="H18" s="32" t="s">
        <v>96</v>
      </c>
    </row>
    <row r="19" spans="2:23" x14ac:dyDescent="0.35">
      <c r="B19" s="19" t="s">
        <v>104</v>
      </c>
      <c r="C19" s="47"/>
      <c r="D19" s="156" t="s">
        <v>96</v>
      </c>
      <c r="E19" s="156" t="s">
        <v>96</v>
      </c>
      <c r="F19" s="32" t="s">
        <v>96</v>
      </c>
      <c r="G19" s="32" t="s">
        <v>96</v>
      </c>
      <c r="H19" s="32" t="s">
        <v>96</v>
      </c>
      <c r="W19" s="31"/>
    </row>
    <row r="20" spans="2:23" x14ac:dyDescent="0.35">
      <c r="B20" s="19" t="s">
        <v>40</v>
      </c>
      <c r="C20" s="20"/>
      <c r="D20" s="51">
        <v>0</v>
      </c>
      <c r="E20" s="51">
        <v>0</v>
      </c>
      <c r="F20" s="32">
        <v>0</v>
      </c>
      <c r="G20" s="32">
        <v>0</v>
      </c>
      <c r="H20" s="32">
        <v>0</v>
      </c>
    </row>
    <row r="21" spans="2:23" ht="14.5" thickBot="1" x14ac:dyDescent="0.4">
      <c r="B21" s="52" t="s">
        <v>100</v>
      </c>
      <c r="C21" s="30"/>
      <c r="D21" s="35">
        <v>-36</v>
      </c>
      <c r="E21" s="35">
        <v>-42</v>
      </c>
      <c r="F21" s="35">
        <v>-56</v>
      </c>
      <c r="G21" s="35">
        <v>-2151</v>
      </c>
      <c r="H21" s="35">
        <v>-116</v>
      </c>
    </row>
    <row r="22" spans="2:23" ht="8" customHeight="1" thickTop="1" x14ac:dyDescent="0.35">
      <c r="C22" s="21"/>
      <c r="D22" s="32"/>
      <c r="E22" s="32"/>
      <c r="F22" s="154"/>
      <c r="G22" s="154"/>
      <c r="H22" s="154"/>
      <c r="W22" s="31"/>
    </row>
    <row r="23" spans="2:23" x14ac:dyDescent="0.35">
      <c r="B23" s="19" t="s">
        <v>105</v>
      </c>
      <c r="C23" s="47"/>
      <c r="D23" s="156">
        <v>-149</v>
      </c>
      <c r="E23" s="156">
        <v>-174</v>
      </c>
      <c r="F23" s="32">
        <v>-1020</v>
      </c>
      <c r="G23" s="32">
        <v>-11</v>
      </c>
      <c r="H23" s="32">
        <v>-192</v>
      </c>
      <c r="W23" s="31"/>
    </row>
    <row r="24" spans="2:23" x14ac:dyDescent="0.35">
      <c r="B24" s="19" t="s">
        <v>106</v>
      </c>
      <c r="C24" s="20"/>
      <c r="D24" s="51" t="s">
        <v>96</v>
      </c>
      <c r="E24" s="51" t="s">
        <v>96</v>
      </c>
      <c r="F24" s="32" t="s">
        <v>96</v>
      </c>
      <c r="G24" s="32" t="s">
        <v>96</v>
      </c>
      <c r="H24" s="32" t="s">
        <v>96</v>
      </c>
    </row>
    <row r="25" spans="2:23" x14ac:dyDescent="0.35">
      <c r="B25" s="19" t="s">
        <v>107</v>
      </c>
      <c r="C25" s="21"/>
      <c r="D25" s="32">
        <v>85</v>
      </c>
      <c r="E25" s="32">
        <v>-25</v>
      </c>
      <c r="F25" s="32">
        <v>605</v>
      </c>
      <c r="G25" s="32">
        <v>1595</v>
      </c>
      <c r="H25" s="32">
        <v>-666</v>
      </c>
    </row>
    <row r="26" spans="2:23" x14ac:dyDescent="0.35">
      <c r="B26" s="19" t="s">
        <v>108</v>
      </c>
      <c r="C26" s="21"/>
      <c r="D26" s="32">
        <v>-3</v>
      </c>
      <c r="E26" s="32" t="s">
        <v>96</v>
      </c>
      <c r="F26" s="32" t="s">
        <v>96</v>
      </c>
      <c r="G26" s="32" t="s">
        <v>96</v>
      </c>
      <c r="H26" s="32" t="s">
        <v>96</v>
      </c>
    </row>
    <row r="27" spans="2:23" x14ac:dyDescent="0.35">
      <c r="B27" s="19" t="s">
        <v>40</v>
      </c>
      <c r="C27" s="21"/>
      <c r="D27" s="32">
        <v>-2</v>
      </c>
      <c r="E27" s="32">
        <v>1</v>
      </c>
      <c r="F27" s="32">
        <v>-15</v>
      </c>
      <c r="G27" s="32">
        <v>-53</v>
      </c>
      <c r="H27" s="32">
        <v>-2</v>
      </c>
    </row>
    <row r="28" spans="2:23" ht="14.5" thickBot="1" x14ac:dyDescent="0.4">
      <c r="B28" s="52" t="s">
        <v>101</v>
      </c>
      <c r="C28" s="30"/>
      <c r="D28" s="35">
        <v>-69</v>
      </c>
      <c r="E28" s="35">
        <v>-198</v>
      </c>
      <c r="F28" s="157">
        <v>-430</v>
      </c>
      <c r="G28" s="157">
        <v>1530</v>
      </c>
      <c r="H28" s="157">
        <v>-860</v>
      </c>
    </row>
    <row r="29" spans="2:23" ht="8" customHeight="1" thickTop="1" x14ac:dyDescent="0.35">
      <c r="D29" s="154"/>
      <c r="E29" s="154"/>
      <c r="F29" s="32"/>
      <c r="G29" s="154"/>
      <c r="H29" s="154"/>
    </row>
    <row r="32" spans="2:23" x14ac:dyDescent="0.35">
      <c r="C32" s="204"/>
      <c r="D32" s="204"/>
      <c r="E32" s="204"/>
      <c r="F32" s="204"/>
      <c r="G32" s="204"/>
      <c r="H32" s="204"/>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6A47-C155-4962-8557-CC158EF0F531}">
  <dimension ref="B2:O167"/>
  <sheetViews>
    <sheetView showGridLines="0" zoomScale="85" zoomScaleNormal="85" workbookViewId="0">
      <selection activeCell="G76" sqref="G76"/>
    </sheetView>
  </sheetViews>
  <sheetFormatPr defaultColWidth="8" defaultRowHeight="14" outlineLevelRow="1" x14ac:dyDescent="0.35"/>
  <cols>
    <col min="1" max="1" width="2.58203125" style="77" customWidth="1"/>
    <col min="2" max="2" width="42.58203125" style="77" customWidth="1"/>
    <col min="3" max="3" width="2.33203125" style="77" customWidth="1"/>
    <col min="4" max="11" width="10.58203125" style="166" customWidth="1"/>
    <col min="12" max="12" width="2.58203125" style="77" customWidth="1"/>
    <col min="13" max="16384" width="8" style="77"/>
  </cols>
  <sheetData>
    <row r="2" spans="2:11" ht="19.5" x14ac:dyDescent="0.45">
      <c r="B2" s="3" t="s">
        <v>1</v>
      </c>
      <c r="C2" s="78"/>
      <c r="D2" s="167"/>
      <c r="E2" s="167"/>
      <c r="F2" s="167"/>
      <c r="G2" s="167"/>
      <c r="H2" s="167"/>
      <c r="I2" s="167"/>
      <c r="J2" s="167"/>
      <c r="K2" s="167"/>
    </row>
    <row r="3" spans="2:11" x14ac:dyDescent="0.35">
      <c r="B3" s="4" t="str">
        <f>CONCATENATE("Crocs"," (","CROX",")")</f>
        <v>Crocs (CROX)</v>
      </c>
      <c r="C3" s="4"/>
      <c r="D3" s="189"/>
      <c r="E3" s="189"/>
      <c r="F3" s="189"/>
      <c r="G3" s="189"/>
      <c r="H3" s="189"/>
      <c r="I3" s="189"/>
      <c r="J3" s="189"/>
      <c r="K3" s="189"/>
    </row>
    <row r="4" spans="2:11" s="1" customFormat="1" x14ac:dyDescent="0.35">
      <c r="B4" s="148" t="s">
        <v>13</v>
      </c>
      <c r="C4" s="80"/>
      <c r="D4" s="199" t="s">
        <v>41</v>
      </c>
      <c r="E4" s="199"/>
      <c r="F4" s="199"/>
      <c r="G4" s="199" t="s">
        <v>120</v>
      </c>
      <c r="H4" s="199"/>
      <c r="I4" s="199"/>
      <c r="J4" s="199"/>
      <c r="K4" s="199"/>
    </row>
    <row r="5" spans="2:11" ht="14.5" thickBot="1" x14ac:dyDescent="0.4">
      <c r="B5" s="81" t="s">
        <v>42</v>
      </c>
      <c r="C5" s="81"/>
      <c r="D5" s="180">
        <f>E5-1</f>
        <v>2021</v>
      </c>
      <c r="E5" s="180">
        <f>F5-1</f>
        <v>2022</v>
      </c>
      <c r="F5" s="190">
        <v>2023</v>
      </c>
      <c r="G5" s="182">
        <f>F5+1</f>
        <v>2024</v>
      </c>
      <c r="H5" s="182">
        <f t="shared" ref="H5:K5" si="0">G5+1</f>
        <v>2025</v>
      </c>
      <c r="I5" s="182">
        <f t="shared" si="0"/>
        <v>2026</v>
      </c>
      <c r="J5" s="182">
        <f t="shared" si="0"/>
        <v>2027</v>
      </c>
      <c r="K5" s="182">
        <f t="shared" si="0"/>
        <v>2028</v>
      </c>
    </row>
    <row r="6" spans="2:11" ht="8" customHeight="1" x14ac:dyDescent="0.35">
      <c r="B6" s="83"/>
      <c r="C6" s="83"/>
      <c r="D6" s="183"/>
      <c r="E6" s="183"/>
      <c r="F6" s="191"/>
      <c r="G6" s="185"/>
      <c r="H6" s="185"/>
      <c r="I6" s="185"/>
      <c r="J6" s="185"/>
      <c r="K6" s="185"/>
    </row>
    <row r="7" spans="2:11" s="1" customFormat="1" x14ac:dyDescent="0.35">
      <c r="B7" s="85" t="s">
        <v>33</v>
      </c>
      <c r="C7" s="85"/>
      <c r="D7" s="86">
        <f>IS!F8</f>
        <v>2313</v>
      </c>
      <c r="E7" s="86">
        <f>IS!G8</f>
        <v>3555</v>
      </c>
      <c r="F7" s="87">
        <f>IS!H8</f>
        <v>3962</v>
      </c>
      <c r="G7" s="88">
        <f>F7*(1+G75)</f>
        <v>4415.5960618846693</v>
      </c>
      <c r="H7" s="88">
        <f>G7*(1+H75)</f>
        <v>4921.1228121482582</v>
      </c>
      <c r="I7" s="88">
        <f>H7*(1+I75)</f>
        <v>5484.5256207401962</v>
      </c>
      <c r="J7" s="88">
        <f>I7*(1+J75)</f>
        <v>6112.4305230302825</v>
      </c>
      <c r="K7" s="88">
        <f>J7*(1+K75)</f>
        <v>6812.2221469046353</v>
      </c>
    </row>
    <row r="8" spans="2:11" hidden="1" outlineLevel="1" x14ac:dyDescent="0.35">
      <c r="B8" s="89" t="str">
        <f>B7&amp;": Conservative Case"</f>
        <v>Revenue: Conservative Case</v>
      </c>
      <c r="C8" s="85"/>
      <c r="D8" s="205"/>
      <c r="E8" s="205"/>
      <c r="F8" s="206"/>
      <c r="G8" s="88">
        <f>F$7*(1+G76)</f>
        <v>4160.1000000000004</v>
      </c>
      <c r="H8" s="88">
        <f t="shared" ref="H8:K10" si="1">G8*(1+H76)</f>
        <v>4368.1050000000005</v>
      </c>
      <c r="I8" s="88">
        <f t="shared" si="1"/>
        <v>4586.5102500000003</v>
      </c>
      <c r="J8" s="88">
        <f t="shared" si="1"/>
        <v>4815.8357625000008</v>
      </c>
      <c r="K8" s="88">
        <f t="shared" si="1"/>
        <v>5056.6275506250013</v>
      </c>
    </row>
    <row r="9" spans="2:11" hidden="1" outlineLevel="1" x14ac:dyDescent="0.35">
      <c r="B9" s="89" t="str">
        <f>B7&amp;": Base Case"</f>
        <v>Revenue: Base Case</v>
      </c>
      <c r="C9" s="85"/>
      <c r="D9" s="205"/>
      <c r="E9" s="205"/>
      <c r="F9" s="206"/>
      <c r="G9" s="88">
        <f>F$7*(1+G77)</f>
        <v>4358.2000000000007</v>
      </c>
      <c r="H9" s="88">
        <f t="shared" si="1"/>
        <v>4794.0200000000013</v>
      </c>
      <c r="I9" s="88">
        <f t="shared" si="1"/>
        <v>5273.4220000000023</v>
      </c>
      <c r="J9" s="88">
        <f t="shared" si="1"/>
        <v>5800.7642000000033</v>
      </c>
      <c r="K9" s="88">
        <f t="shared" si="1"/>
        <v>6380.8406200000045</v>
      </c>
    </row>
    <row r="10" spans="2:11" hidden="1" outlineLevel="1" x14ac:dyDescent="0.35">
      <c r="B10" s="89" t="str">
        <f>B7&amp;": Optimistic Case"</f>
        <v>Revenue: Optimistic Case</v>
      </c>
      <c r="C10" s="85"/>
      <c r="D10" s="205"/>
      <c r="E10" s="205"/>
      <c r="F10" s="206"/>
      <c r="G10" s="88">
        <f>F$7*(1+G78)</f>
        <v>4556.2999999999993</v>
      </c>
      <c r="H10" s="88">
        <f t="shared" si="1"/>
        <v>5239.744999999999</v>
      </c>
      <c r="I10" s="88">
        <f t="shared" si="1"/>
        <v>6025.7067499999985</v>
      </c>
      <c r="J10" s="88">
        <f t="shared" si="1"/>
        <v>6929.5627624999979</v>
      </c>
      <c r="K10" s="88">
        <f t="shared" si="1"/>
        <v>7968.9971768749974</v>
      </c>
    </row>
    <row r="11" spans="2:11" s="1" customFormat="1" collapsed="1" x14ac:dyDescent="0.35">
      <c r="B11" s="91" t="s">
        <v>77</v>
      </c>
      <c r="C11" s="91"/>
      <c r="D11" s="92">
        <f>IS!F11</f>
        <v>893</v>
      </c>
      <c r="E11" s="92">
        <f>IS!G11</f>
        <v>1695</v>
      </c>
      <c r="F11" s="93">
        <f>IS!H11</f>
        <v>1752</v>
      </c>
      <c r="G11" s="94">
        <f t="shared" ref="G11:K14" si="2">G7*G$80</f>
        <v>1952.5805907172996</v>
      </c>
      <c r="H11" s="94">
        <f t="shared" si="2"/>
        <v>2176.124979021643</v>
      </c>
      <c r="I11" s="94">
        <f t="shared" si="2"/>
        <v>2425.2622129068209</v>
      </c>
      <c r="J11" s="94">
        <f t="shared" si="2"/>
        <v>2702.9223312339868</v>
      </c>
      <c r="K11" s="94">
        <f t="shared" si="2"/>
        <v>3012.3708231642913</v>
      </c>
    </row>
    <row r="12" spans="2:11" hidden="1" outlineLevel="1" x14ac:dyDescent="0.35">
      <c r="B12" s="89" t="str">
        <f>B11&amp;": Conservative Case"</f>
        <v>Cost of Goods Sold: Conservative Case</v>
      </c>
      <c r="C12" s="85"/>
      <c r="D12" s="205"/>
      <c r="E12" s="205"/>
      <c r="F12" s="206"/>
      <c r="G12" s="88">
        <f t="shared" si="2"/>
        <v>1839.6000000000004</v>
      </c>
      <c r="H12" s="88">
        <f t="shared" si="2"/>
        <v>1931.5800000000004</v>
      </c>
      <c r="I12" s="88">
        <f t="shared" si="2"/>
        <v>2028.1590000000003</v>
      </c>
      <c r="J12" s="88">
        <f t="shared" si="2"/>
        <v>2129.5669500000004</v>
      </c>
      <c r="K12" s="88">
        <f t="shared" si="2"/>
        <v>2236.0452975000007</v>
      </c>
    </row>
    <row r="13" spans="2:11" hidden="1" outlineLevel="1" x14ac:dyDescent="0.35">
      <c r="B13" s="89" t="str">
        <f>B11&amp;": Base Case"</f>
        <v>Cost of Goods Sold: Base Case</v>
      </c>
      <c r="C13" s="85"/>
      <c r="D13" s="205"/>
      <c r="E13" s="205"/>
      <c r="F13" s="206"/>
      <c r="G13" s="88">
        <f t="shared" si="2"/>
        <v>1927.2000000000005</v>
      </c>
      <c r="H13" s="88">
        <f t="shared" si="2"/>
        <v>2119.9200000000005</v>
      </c>
      <c r="I13" s="88">
        <f t="shared" si="2"/>
        <v>2331.9120000000012</v>
      </c>
      <c r="J13" s="88">
        <f t="shared" si="2"/>
        <v>2565.1032000000014</v>
      </c>
      <c r="K13" s="88">
        <f t="shared" si="2"/>
        <v>2821.6135200000022</v>
      </c>
    </row>
    <row r="14" spans="2:11" hidden="1" outlineLevel="1" x14ac:dyDescent="0.35">
      <c r="B14" s="89" t="str">
        <f>B11&amp;": Optimistic Case"</f>
        <v>Cost of Goods Sold: Optimistic Case</v>
      </c>
      <c r="C14" s="91"/>
      <c r="D14" s="207"/>
      <c r="E14" s="207"/>
      <c r="F14" s="208"/>
      <c r="G14" s="94">
        <f t="shared" si="2"/>
        <v>2014.7999999999997</v>
      </c>
      <c r="H14" s="94">
        <f t="shared" si="2"/>
        <v>2317.0199999999995</v>
      </c>
      <c r="I14" s="94">
        <f t="shared" si="2"/>
        <v>2664.5729999999994</v>
      </c>
      <c r="J14" s="94">
        <f t="shared" si="2"/>
        <v>3064.2589499999995</v>
      </c>
      <c r="K14" s="94">
        <f t="shared" si="2"/>
        <v>3523.897792499999</v>
      </c>
    </row>
    <row r="15" spans="2:11" collapsed="1" x14ac:dyDescent="0.35">
      <c r="B15" s="5" t="s">
        <v>34</v>
      </c>
      <c r="C15" s="1"/>
      <c r="D15" s="159">
        <f>IS!F14</f>
        <v>1420</v>
      </c>
      <c r="E15" s="159">
        <f>IS!G14</f>
        <v>1860</v>
      </c>
      <c r="F15" s="158">
        <f>IS!H14</f>
        <v>2210</v>
      </c>
      <c r="G15" s="88">
        <f t="shared" ref="G15:K18" si="3">G7-G11</f>
        <v>2463.0154711673695</v>
      </c>
      <c r="H15" s="88">
        <f t="shared" si="3"/>
        <v>2744.9978331266152</v>
      </c>
      <c r="I15" s="88">
        <f t="shared" si="3"/>
        <v>3059.2634078333754</v>
      </c>
      <c r="J15" s="88">
        <f t="shared" si="3"/>
        <v>3409.5081917962957</v>
      </c>
      <c r="K15" s="88">
        <f t="shared" si="3"/>
        <v>3799.851323740344</v>
      </c>
    </row>
    <row r="16" spans="2:11" hidden="1" outlineLevel="1" x14ac:dyDescent="0.35">
      <c r="B16" s="89" t="str">
        <f>B15&amp;": Conservative Case"</f>
        <v>Gross Profit: Conservative Case</v>
      </c>
      <c r="C16" s="1"/>
      <c r="D16" s="205"/>
      <c r="E16" s="205"/>
      <c r="F16" s="206"/>
      <c r="G16" s="88">
        <f t="shared" si="3"/>
        <v>2320.5</v>
      </c>
      <c r="H16" s="88">
        <f t="shared" si="3"/>
        <v>2436.5250000000001</v>
      </c>
      <c r="I16" s="88">
        <f t="shared" si="3"/>
        <v>2558.3512499999997</v>
      </c>
      <c r="J16" s="88">
        <f t="shared" si="3"/>
        <v>2686.2688125000004</v>
      </c>
      <c r="K16" s="88">
        <f t="shared" si="3"/>
        <v>2820.5822531250005</v>
      </c>
    </row>
    <row r="17" spans="2:12" hidden="1" outlineLevel="1" x14ac:dyDescent="0.35">
      <c r="B17" s="89" t="str">
        <f>B15&amp;": Base Case"</f>
        <v>Gross Profit: Base Case</v>
      </c>
      <c r="C17" s="1"/>
      <c r="D17" s="205"/>
      <c r="E17" s="205"/>
      <c r="F17" s="206"/>
      <c r="G17" s="88">
        <f t="shared" si="3"/>
        <v>2431</v>
      </c>
      <c r="H17" s="88">
        <f t="shared" si="3"/>
        <v>2674.1000000000008</v>
      </c>
      <c r="I17" s="88">
        <f t="shared" si="3"/>
        <v>2941.5100000000011</v>
      </c>
      <c r="J17" s="88">
        <f t="shared" si="3"/>
        <v>3235.6610000000019</v>
      </c>
      <c r="K17" s="88">
        <f t="shared" si="3"/>
        <v>3559.2271000000023</v>
      </c>
    </row>
    <row r="18" spans="2:12" hidden="1" outlineLevel="1" x14ac:dyDescent="0.35">
      <c r="B18" s="89" t="str">
        <f>B15&amp;": Optimistic Case"</f>
        <v>Gross Profit: Optimistic Case</v>
      </c>
      <c r="C18" s="1"/>
      <c r="D18" s="205"/>
      <c r="E18" s="205"/>
      <c r="F18" s="206"/>
      <c r="G18" s="88">
        <f t="shared" si="3"/>
        <v>2541.4999999999995</v>
      </c>
      <c r="H18" s="88">
        <f t="shared" si="3"/>
        <v>2922.7249999999995</v>
      </c>
      <c r="I18" s="88">
        <f t="shared" si="3"/>
        <v>3361.1337499999991</v>
      </c>
      <c r="J18" s="88">
        <f t="shared" si="3"/>
        <v>3865.3038124999985</v>
      </c>
      <c r="K18" s="88">
        <f t="shared" si="3"/>
        <v>4445.0993843749984</v>
      </c>
    </row>
    <row r="19" spans="2:12" collapsed="1" x14ac:dyDescent="0.35">
      <c r="B19" s="85" t="s">
        <v>43</v>
      </c>
      <c r="C19" s="95"/>
      <c r="D19" s="209"/>
      <c r="E19" s="209"/>
      <c r="F19" s="210"/>
      <c r="G19" s="96"/>
      <c r="H19" s="96"/>
      <c r="I19" s="96"/>
      <c r="J19" s="96"/>
      <c r="K19" s="96"/>
    </row>
    <row r="20" spans="2:12" x14ac:dyDescent="0.35">
      <c r="B20" s="7" t="s">
        <v>110</v>
      </c>
      <c r="C20" s="95"/>
      <c r="D20" s="141">
        <f>IS!F18</f>
        <v>737</v>
      </c>
      <c r="E20" s="141">
        <f>IS!G18</f>
        <v>1010</v>
      </c>
      <c r="F20" s="136">
        <f>IS!H18</f>
        <v>1164</v>
      </c>
      <c r="G20" s="96">
        <f t="shared" ref="G20:K23" si="4">G7*G$81</f>
        <v>1297.2624472573841</v>
      </c>
      <c r="H20" s="96">
        <f t="shared" si="4"/>
        <v>1445.7816641445161</v>
      </c>
      <c r="I20" s="96">
        <f t="shared" si="4"/>
        <v>1611.304346931244</v>
      </c>
      <c r="J20" s="96">
        <f t="shared" si="4"/>
        <v>1795.7771652718955</v>
      </c>
      <c r="K20" s="96">
        <f t="shared" si="4"/>
        <v>2001.3696564858649</v>
      </c>
      <c r="L20" s="101"/>
    </row>
    <row r="21" spans="2:12" hidden="1" outlineLevel="1" x14ac:dyDescent="0.35">
      <c r="B21" s="102" t="str">
        <f>B20&amp;": Conservative Case"</f>
        <v>Sales, General, &amp; Administrative: Conservative Case</v>
      </c>
      <c r="C21" s="95"/>
      <c r="D21" s="211"/>
      <c r="E21" s="211"/>
      <c r="F21" s="212"/>
      <c r="G21" s="96">
        <f t="shared" si="4"/>
        <v>1222.2000000000003</v>
      </c>
      <c r="H21" s="96">
        <f t="shared" si="4"/>
        <v>1283.3100000000002</v>
      </c>
      <c r="I21" s="96">
        <f t="shared" si="4"/>
        <v>1347.4755000000002</v>
      </c>
      <c r="J21" s="96">
        <f t="shared" si="4"/>
        <v>1414.8492750000003</v>
      </c>
      <c r="K21" s="96">
        <f t="shared" si="4"/>
        <v>1485.5917387500006</v>
      </c>
      <c r="L21" s="101"/>
    </row>
    <row r="22" spans="2:12" hidden="1" outlineLevel="1" x14ac:dyDescent="0.35">
      <c r="B22" s="102" t="str">
        <f>B20&amp;": Base Case"</f>
        <v>Sales, General, &amp; Administrative: Base Case</v>
      </c>
      <c r="C22" s="95"/>
      <c r="D22" s="211"/>
      <c r="E22" s="211"/>
      <c r="F22" s="212"/>
      <c r="G22" s="96">
        <f t="shared" si="4"/>
        <v>1280.4000000000003</v>
      </c>
      <c r="H22" s="96">
        <f t="shared" si="4"/>
        <v>1408.4400000000005</v>
      </c>
      <c r="I22" s="96">
        <f t="shared" si="4"/>
        <v>1549.2840000000008</v>
      </c>
      <c r="J22" s="96">
        <f t="shared" si="4"/>
        <v>1704.212400000001</v>
      </c>
      <c r="K22" s="96">
        <f t="shared" si="4"/>
        <v>1874.6336400000014</v>
      </c>
      <c r="L22" s="101"/>
    </row>
    <row r="23" spans="2:12" hidden="1" outlineLevel="1" x14ac:dyDescent="0.35">
      <c r="B23" s="102" t="str">
        <f>B20&amp;": Optimistic Case"</f>
        <v>Sales, General, &amp; Administrative: Optimistic Case</v>
      </c>
      <c r="C23" s="95"/>
      <c r="D23" s="211"/>
      <c r="E23" s="211"/>
      <c r="F23" s="213"/>
      <c r="G23" s="96">
        <f t="shared" si="4"/>
        <v>1338.6</v>
      </c>
      <c r="H23" s="96">
        <f t="shared" si="4"/>
        <v>1539.3899999999999</v>
      </c>
      <c r="I23" s="96">
        <f t="shared" si="4"/>
        <v>1770.2984999999996</v>
      </c>
      <c r="J23" s="96">
        <f t="shared" si="4"/>
        <v>2035.8432749999995</v>
      </c>
      <c r="K23" s="96">
        <f t="shared" si="4"/>
        <v>2341.2197662499993</v>
      </c>
      <c r="L23" s="101"/>
    </row>
    <row r="24" spans="2:12" collapsed="1" x14ac:dyDescent="0.35">
      <c r="B24" s="5" t="s">
        <v>5</v>
      </c>
      <c r="C24" s="5"/>
      <c r="D24" s="159">
        <f>IS!F19</f>
        <v>737</v>
      </c>
      <c r="E24" s="159">
        <f>IS!G19</f>
        <v>1010</v>
      </c>
      <c r="F24" s="158">
        <f>IS!H19</f>
        <v>1164</v>
      </c>
      <c r="G24" s="104">
        <f>SUM(G20)</f>
        <v>1297.2624472573841</v>
      </c>
      <c r="H24" s="104">
        <f t="shared" ref="H24:K24" si="5">SUM(H20)</f>
        <v>1445.7816641445161</v>
      </c>
      <c r="I24" s="104">
        <f t="shared" si="5"/>
        <v>1611.304346931244</v>
      </c>
      <c r="J24" s="104">
        <f t="shared" si="5"/>
        <v>1795.7771652718955</v>
      </c>
      <c r="K24" s="104">
        <f t="shared" si="5"/>
        <v>2001.3696564858649</v>
      </c>
      <c r="L24" s="101"/>
    </row>
    <row r="25" spans="2:12" hidden="1" outlineLevel="1" x14ac:dyDescent="0.35">
      <c r="B25" s="89" t="str">
        <f>B24&amp;": Conservative Case"</f>
        <v>Total Operating Expenses: Conservative Case</v>
      </c>
      <c r="C25" s="1"/>
      <c r="D25" s="205"/>
      <c r="E25" s="205"/>
      <c r="F25" s="206"/>
      <c r="G25" s="88">
        <f>SUM(G21)</f>
        <v>1222.2000000000003</v>
      </c>
      <c r="H25" s="88">
        <f t="shared" ref="H25:K25" si="6">SUM(H21)</f>
        <v>1283.3100000000002</v>
      </c>
      <c r="I25" s="88">
        <f t="shared" si="6"/>
        <v>1347.4755000000002</v>
      </c>
      <c r="J25" s="88">
        <f t="shared" si="6"/>
        <v>1414.8492750000003</v>
      </c>
      <c r="K25" s="88">
        <f t="shared" si="6"/>
        <v>1485.5917387500006</v>
      </c>
      <c r="L25" s="101"/>
    </row>
    <row r="26" spans="2:12" hidden="1" outlineLevel="1" x14ac:dyDescent="0.35">
      <c r="B26" s="89" t="str">
        <f>B24&amp;": Base Case"</f>
        <v>Total Operating Expenses: Base Case</v>
      </c>
      <c r="C26" s="1"/>
      <c r="D26" s="205"/>
      <c r="E26" s="205"/>
      <c r="F26" s="206"/>
      <c r="G26" s="88">
        <f t="shared" ref="G26:K26" si="7">SUM(G22)</f>
        <v>1280.4000000000003</v>
      </c>
      <c r="H26" s="88">
        <f t="shared" si="7"/>
        <v>1408.4400000000005</v>
      </c>
      <c r="I26" s="88">
        <f t="shared" si="7"/>
        <v>1549.2840000000008</v>
      </c>
      <c r="J26" s="88">
        <f t="shared" si="7"/>
        <v>1704.212400000001</v>
      </c>
      <c r="K26" s="88">
        <f t="shared" si="7"/>
        <v>1874.6336400000014</v>
      </c>
      <c r="L26" s="101"/>
    </row>
    <row r="27" spans="2:12" hidden="1" outlineLevel="1" x14ac:dyDescent="0.35">
      <c r="B27" s="89" t="str">
        <f>B24&amp;": Optimistic Case"</f>
        <v>Total Operating Expenses: Optimistic Case</v>
      </c>
      <c r="C27" s="1"/>
      <c r="D27" s="205"/>
      <c r="E27" s="205"/>
      <c r="F27" s="206"/>
      <c r="G27" s="88">
        <f t="shared" ref="G27:K27" si="8">SUM(G23)</f>
        <v>1338.6</v>
      </c>
      <c r="H27" s="88">
        <f t="shared" si="8"/>
        <v>1539.3899999999999</v>
      </c>
      <c r="I27" s="88">
        <f t="shared" si="8"/>
        <v>1770.2984999999996</v>
      </c>
      <c r="J27" s="88">
        <f t="shared" si="8"/>
        <v>2035.8432749999995</v>
      </c>
      <c r="K27" s="88">
        <f t="shared" si="8"/>
        <v>2341.2197662499993</v>
      </c>
      <c r="L27" s="101"/>
    </row>
    <row r="28" spans="2:12" ht="4" customHeight="1" collapsed="1" x14ac:dyDescent="0.35">
      <c r="B28" s="1"/>
      <c r="C28" s="91"/>
      <c r="D28" s="207"/>
      <c r="E28" s="207"/>
      <c r="F28" s="208"/>
      <c r="G28" s="88"/>
      <c r="H28" s="88"/>
      <c r="I28" s="88"/>
      <c r="J28" s="88"/>
      <c r="K28" s="88"/>
      <c r="L28" s="101"/>
    </row>
    <row r="29" spans="2:12" x14ac:dyDescent="0.35">
      <c r="B29" s="5" t="s">
        <v>28</v>
      </c>
      <c r="C29" s="1"/>
      <c r="D29" s="142">
        <f t="shared" ref="D29:E29" si="9">SUM(D34:D35)</f>
        <v>715</v>
      </c>
      <c r="E29" s="138">
        <f t="shared" si="9"/>
        <v>890</v>
      </c>
      <c r="F29" s="137">
        <f>SUM(F34:F35)</f>
        <v>1100</v>
      </c>
      <c r="G29" s="104">
        <f t="shared" ref="G29:K32" si="10">G15-G24</f>
        <v>1165.7530239099854</v>
      </c>
      <c r="H29" s="104">
        <f t="shared" si="10"/>
        <v>1299.2161689820991</v>
      </c>
      <c r="I29" s="104">
        <f t="shared" si="10"/>
        <v>1447.9590609021313</v>
      </c>
      <c r="J29" s="104">
        <f t="shared" si="10"/>
        <v>1613.7310265244002</v>
      </c>
      <c r="K29" s="104">
        <f t="shared" si="10"/>
        <v>1798.4816672544791</v>
      </c>
      <c r="L29" s="101"/>
    </row>
    <row r="30" spans="2:12" hidden="1" outlineLevel="1" x14ac:dyDescent="0.35">
      <c r="B30" s="89" t="str">
        <f>B29&amp;": Conservative Case"</f>
        <v>EBITDA: Conservative Case</v>
      </c>
      <c r="C30" s="1"/>
      <c r="D30" s="205"/>
      <c r="E30" s="205"/>
      <c r="F30" s="206"/>
      <c r="G30" s="88">
        <f t="shared" si="10"/>
        <v>1098.2999999999997</v>
      </c>
      <c r="H30" s="88">
        <f t="shared" si="10"/>
        <v>1153.2149999999999</v>
      </c>
      <c r="I30" s="88">
        <f t="shared" si="10"/>
        <v>1210.8757499999995</v>
      </c>
      <c r="J30" s="88">
        <f t="shared" si="10"/>
        <v>1271.4195375000002</v>
      </c>
      <c r="K30" s="88">
        <f t="shared" si="10"/>
        <v>1334.990514375</v>
      </c>
      <c r="L30" s="101"/>
    </row>
    <row r="31" spans="2:12" hidden="1" outlineLevel="1" x14ac:dyDescent="0.35">
      <c r="B31" s="89" t="str">
        <f>B29&amp;": Base Case"</f>
        <v>EBITDA: Base Case</v>
      </c>
      <c r="C31" s="1"/>
      <c r="D31" s="205"/>
      <c r="E31" s="205"/>
      <c r="F31" s="206"/>
      <c r="G31" s="88">
        <f t="shared" si="10"/>
        <v>1150.5999999999997</v>
      </c>
      <c r="H31" s="88">
        <f t="shared" si="10"/>
        <v>1265.6600000000003</v>
      </c>
      <c r="I31" s="88">
        <f t="shared" si="10"/>
        <v>1392.2260000000003</v>
      </c>
      <c r="J31" s="88">
        <f t="shared" si="10"/>
        <v>1531.4486000000009</v>
      </c>
      <c r="K31" s="88">
        <f t="shared" si="10"/>
        <v>1684.593460000001</v>
      </c>
      <c r="L31" s="101"/>
    </row>
    <row r="32" spans="2:12" hidden="1" outlineLevel="1" x14ac:dyDescent="0.35">
      <c r="B32" s="89" t="str">
        <f>B29&amp;": Optimistic Case"</f>
        <v>EBITDA: Optimistic Case</v>
      </c>
      <c r="C32" s="1"/>
      <c r="D32" s="205"/>
      <c r="E32" s="205"/>
      <c r="F32" s="206"/>
      <c r="G32" s="88">
        <f t="shared" si="10"/>
        <v>1202.8999999999996</v>
      </c>
      <c r="H32" s="88">
        <f t="shared" si="10"/>
        <v>1383.3349999999996</v>
      </c>
      <c r="I32" s="88">
        <f t="shared" si="10"/>
        <v>1590.8352499999994</v>
      </c>
      <c r="J32" s="88">
        <f t="shared" si="10"/>
        <v>1829.460537499999</v>
      </c>
      <c r="K32" s="88">
        <f t="shared" si="10"/>
        <v>2103.8796181249991</v>
      </c>
      <c r="L32" s="101"/>
    </row>
    <row r="33" spans="2:12" ht="4" customHeight="1" collapsed="1" x14ac:dyDescent="0.35">
      <c r="B33" s="1"/>
      <c r="C33" s="1"/>
      <c r="D33" s="98"/>
      <c r="E33" s="99"/>
      <c r="F33" s="100"/>
      <c r="G33" s="88"/>
      <c r="H33" s="88"/>
      <c r="I33" s="88"/>
      <c r="J33" s="88"/>
      <c r="K33" s="88"/>
    </row>
    <row r="34" spans="2:12" x14ac:dyDescent="0.35">
      <c r="B34" s="139" t="s">
        <v>102</v>
      </c>
      <c r="C34" s="105"/>
      <c r="D34" s="143">
        <f>CFS!F10</f>
        <v>32</v>
      </c>
      <c r="E34" s="143">
        <f>CFS!G10</f>
        <v>39</v>
      </c>
      <c r="F34" s="140">
        <f>CFS!H10</f>
        <v>54</v>
      </c>
      <c r="G34" s="224">
        <f>G91</f>
        <v>67.467933491686466</v>
      </c>
      <c r="H34" s="224">
        <f t="shared" ref="H34:K34" si="11">H91</f>
        <v>84.294852771085701</v>
      </c>
      <c r="I34" s="224">
        <f t="shared" si="11"/>
        <v>105.31850963798355</v>
      </c>
      <c r="J34" s="224">
        <f t="shared" si="11"/>
        <v>131.58559636479657</v>
      </c>
      <c r="K34" s="224">
        <f t="shared" si="11"/>
        <v>164.40385674081472</v>
      </c>
      <c r="L34" s="101"/>
    </row>
    <row r="35" spans="2:12" x14ac:dyDescent="0.35">
      <c r="B35" s="1" t="s">
        <v>6</v>
      </c>
      <c r="C35" s="1"/>
      <c r="D35" s="159">
        <f>IS!F22</f>
        <v>683</v>
      </c>
      <c r="E35" s="159">
        <f>IS!G22</f>
        <v>851</v>
      </c>
      <c r="F35" s="158">
        <f>IS!H22</f>
        <v>1046</v>
      </c>
      <c r="G35" s="104">
        <f>G15-G24</f>
        <v>1165.7530239099854</v>
      </c>
      <c r="H35" s="104">
        <f t="shared" ref="H35:K35" si="12">H15-H24</f>
        <v>1299.2161689820991</v>
      </c>
      <c r="I35" s="104">
        <f t="shared" si="12"/>
        <v>1447.9590609021313</v>
      </c>
      <c r="J35" s="104">
        <f t="shared" si="12"/>
        <v>1613.7310265244002</v>
      </c>
      <c r="K35" s="104">
        <f t="shared" si="12"/>
        <v>1798.4816672544791</v>
      </c>
    </row>
    <row r="36" spans="2:12" hidden="1" outlineLevel="1" x14ac:dyDescent="0.35">
      <c r="B36" s="89" t="str">
        <f>B35&amp;": Conservative Case"</f>
        <v>Operating Income (EBIT): Conservative Case</v>
      </c>
      <c r="C36" s="1"/>
      <c r="D36" s="205"/>
      <c r="E36" s="205"/>
      <c r="F36" s="206"/>
      <c r="G36" s="88">
        <f t="shared" ref="G36:K36" si="13">G16-G25</f>
        <v>1098.2999999999997</v>
      </c>
      <c r="H36" s="88">
        <f t="shared" si="13"/>
        <v>1153.2149999999999</v>
      </c>
      <c r="I36" s="88">
        <f t="shared" si="13"/>
        <v>1210.8757499999995</v>
      </c>
      <c r="J36" s="88">
        <f t="shared" si="13"/>
        <v>1271.4195375000002</v>
      </c>
      <c r="K36" s="88">
        <f t="shared" si="13"/>
        <v>1334.990514375</v>
      </c>
    </row>
    <row r="37" spans="2:12" hidden="1" outlineLevel="1" x14ac:dyDescent="0.35">
      <c r="B37" s="89" t="str">
        <f>B35&amp;": Base Case"</f>
        <v>Operating Income (EBIT): Base Case</v>
      </c>
      <c r="C37" s="1"/>
      <c r="D37" s="205"/>
      <c r="E37" s="205"/>
      <c r="F37" s="206"/>
      <c r="G37" s="88">
        <f t="shared" ref="G37:K37" si="14">G17-G26</f>
        <v>1150.5999999999997</v>
      </c>
      <c r="H37" s="88">
        <f t="shared" si="14"/>
        <v>1265.6600000000003</v>
      </c>
      <c r="I37" s="88">
        <f t="shared" si="14"/>
        <v>1392.2260000000003</v>
      </c>
      <c r="J37" s="88">
        <f t="shared" si="14"/>
        <v>1531.4486000000009</v>
      </c>
      <c r="K37" s="88">
        <f t="shared" si="14"/>
        <v>1684.593460000001</v>
      </c>
    </row>
    <row r="38" spans="2:12" hidden="1" outlineLevel="1" x14ac:dyDescent="0.35">
      <c r="B38" s="89" t="str">
        <f>B35&amp;": Optimistic Case"</f>
        <v>Operating Income (EBIT): Optimistic Case</v>
      </c>
      <c r="C38" s="1"/>
      <c r="D38" s="205"/>
      <c r="E38" s="205"/>
      <c r="F38" s="206"/>
      <c r="G38" s="88">
        <f t="shared" ref="G38:K38" si="15">G18-G27</f>
        <v>1202.8999999999996</v>
      </c>
      <c r="H38" s="88">
        <f t="shared" si="15"/>
        <v>1383.3349999999996</v>
      </c>
      <c r="I38" s="88">
        <f t="shared" si="15"/>
        <v>1590.8352499999994</v>
      </c>
      <c r="J38" s="88">
        <f t="shared" si="15"/>
        <v>1829.460537499999</v>
      </c>
      <c r="K38" s="88">
        <f t="shared" si="15"/>
        <v>2103.8796181249991</v>
      </c>
    </row>
    <row r="39" spans="2:12" ht="4" customHeight="1" collapsed="1" x14ac:dyDescent="0.35">
      <c r="B39" s="1"/>
      <c r="C39" s="1"/>
      <c r="D39" s="205"/>
      <c r="E39" s="205"/>
      <c r="F39" s="206"/>
      <c r="G39" s="88"/>
      <c r="H39" s="88"/>
      <c r="I39" s="88"/>
      <c r="J39" s="88"/>
      <c r="K39" s="88"/>
    </row>
    <row r="40" spans="2:12" x14ac:dyDescent="0.35">
      <c r="B40" s="7" t="s">
        <v>82</v>
      </c>
      <c r="D40" s="141">
        <f>IS!F30</f>
        <v>62</v>
      </c>
      <c r="E40" s="141">
        <f>IS!G30</f>
        <v>-178</v>
      </c>
      <c r="F40" s="136">
        <f>IS!H30</f>
        <v>-84</v>
      </c>
      <c r="G40" s="96">
        <f t="shared" ref="G40:K43" si="16">G35*G$82</f>
        <v>-93.616877637130756</v>
      </c>
      <c r="H40" s="96">
        <f t="shared" si="16"/>
        <v>-104.33475926816092</v>
      </c>
      <c r="I40" s="96">
        <f t="shared" si="16"/>
        <v>-116.27969513936809</v>
      </c>
      <c r="J40" s="96">
        <f t="shared" si="16"/>
        <v>-129.59216656601302</v>
      </c>
      <c r="K40" s="96">
        <f t="shared" si="16"/>
        <v>-144.42873809691801</v>
      </c>
    </row>
    <row r="41" spans="2:12" hidden="1" outlineLevel="1" x14ac:dyDescent="0.35">
      <c r="B41" s="102" t="str">
        <f>B40&amp;": Conservative Case"</f>
        <v>Income Tax: Conservative Case</v>
      </c>
      <c r="D41" s="209"/>
      <c r="E41" s="209"/>
      <c r="F41" s="210"/>
      <c r="G41" s="96">
        <f t="shared" si="16"/>
        <v>-88.199999999999974</v>
      </c>
      <c r="H41" s="96">
        <f t="shared" si="16"/>
        <v>-92.609999999999985</v>
      </c>
      <c r="I41" s="96">
        <f t="shared" si="16"/>
        <v>-97.240499999999955</v>
      </c>
      <c r="J41" s="96">
        <f t="shared" si="16"/>
        <v>-102.102525</v>
      </c>
      <c r="K41" s="96">
        <f t="shared" si="16"/>
        <v>-107.20765124999998</v>
      </c>
    </row>
    <row r="42" spans="2:12" hidden="1" outlineLevel="1" x14ac:dyDescent="0.35">
      <c r="B42" s="102" t="str">
        <f>B40&amp;": Base Case"</f>
        <v>Income Tax: Base Case</v>
      </c>
      <c r="D42" s="209"/>
      <c r="E42" s="209"/>
      <c r="F42" s="210"/>
      <c r="G42" s="96">
        <f t="shared" si="16"/>
        <v>-92.399999999999963</v>
      </c>
      <c r="H42" s="96">
        <f t="shared" si="16"/>
        <v>-101.64000000000001</v>
      </c>
      <c r="I42" s="96">
        <f t="shared" si="16"/>
        <v>-111.80400000000002</v>
      </c>
      <c r="J42" s="96">
        <f t="shared" si="16"/>
        <v>-122.98440000000006</v>
      </c>
      <c r="K42" s="96">
        <f t="shared" si="16"/>
        <v>-135.28284000000008</v>
      </c>
    </row>
    <row r="43" spans="2:12" hidden="1" outlineLevel="1" x14ac:dyDescent="0.35">
      <c r="B43" s="103" t="str">
        <f>B40&amp;": Optimistic Case"</f>
        <v>Income Tax: Optimistic Case</v>
      </c>
      <c r="C43" s="105"/>
      <c r="D43" s="214"/>
      <c r="E43" s="214"/>
      <c r="F43" s="215"/>
      <c r="G43" s="96">
        <f t="shared" si="16"/>
        <v>-96.599999999999966</v>
      </c>
      <c r="H43" s="96">
        <f t="shared" si="16"/>
        <v>-111.08999999999996</v>
      </c>
      <c r="I43" s="96">
        <f t="shared" si="16"/>
        <v>-127.75349999999995</v>
      </c>
      <c r="J43" s="96">
        <f t="shared" si="16"/>
        <v>-146.91652499999989</v>
      </c>
      <c r="K43" s="96">
        <f t="shared" si="16"/>
        <v>-168.95400374999991</v>
      </c>
    </row>
    <row r="44" spans="2:12" collapsed="1" x14ac:dyDescent="0.35">
      <c r="B44" s="5" t="s">
        <v>44</v>
      </c>
      <c r="C44" s="5"/>
      <c r="D44" s="216">
        <f t="shared" ref="D44:E44" si="17">SUM(D35,D40)</f>
        <v>745</v>
      </c>
      <c r="E44" s="216">
        <f t="shared" si="17"/>
        <v>673</v>
      </c>
      <c r="F44" s="217">
        <f>SUM(F35,F40)</f>
        <v>962</v>
      </c>
      <c r="G44" s="104">
        <f>SUM(G35,G40)</f>
        <v>1072.1361462728546</v>
      </c>
      <c r="H44" s="104">
        <f t="shared" ref="H44:K44" si="18">SUM(H35,H40)</f>
        <v>1194.8814097139382</v>
      </c>
      <c r="I44" s="104">
        <f t="shared" si="18"/>
        <v>1331.6793657627632</v>
      </c>
      <c r="J44" s="104">
        <f t="shared" si="18"/>
        <v>1484.1388599583872</v>
      </c>
      <c r="K44" s="104">
        <f t="shared" si="18"/>
        <v>1654.052929157561</v>
      </c>
    </row>
    <row r="45" spans="2:12" hidden="1" outlineLevel="1" x14ac:dyDescent="0.35">
      <c r="B45" s="89" t="str">
        <f>B44&amp;": Conservative Case"</f>
        <v>EBIAT: Conservative Case</v>
      </c>
      <c r="C45" s="1"/>
      <c r="D45" s="205"/>
      <c r="E45" s="205"/>
      <c r="F45" s="206"/>
      <c r="G45" s="88">
        <f t="shared" ref="G45:K45" si="19">SUM(G36,G41)</f>
        <v>1010.0999999999998</v>
      </c>
      <c r="H45" s="88">
        <f t="shared" si="19"/>
        <v>1060.605</v>
      </c>
      <c r="I45" s="88">
        <f t="shared" si="19"/>
        <v>1113.6352499999996</v>
      </c>
      <c r="J45" s="88">
        <f t="shared" si="19"/>
        <v>1169.3170125000001</v>
      </c>
      <c r="K45" s="88">
        <f t="shared" si="19"/>
        <v>1227.7828631249999</v>
      </c>
    </row>
    <row r="46" spans="2:12" hidden="1" outlineLevel="1" x14ac:dyDescent="0.35">
      <c r="B46" s="89" t="str">
        <f>B44&amp;": Base Case"</f>
        <v>EBIAT: Base Case</v>
      </c>
      <c r="C46" s="1"/>
      <c r="D46" s="205"/>
      <c r="E46" s="205"/>
      <c r="F46" s="206"/>
      <c r="G46" s="88">
        <f t="shared" ref="G46:K46" si="20">SUM(G37,G42)</f>
        <v>1058.1999999999998</v>
      </c>
      <c r="H46" s="88">
        <f t="shared" si="20"/>
        <v>1164.0200000000002</v>
      </c>
      <c r="I46" s="88">
        <f t="shared" si="20"/>
        <v>1280.4220000000003</v>
      </c>
      <c r="J46" s="88">
        <f t="shared" si="20"/>
        <v>1408.4642000000008</v>
      </c>
      <c r="K46" s="88">
        <f t="shared" si="20"/>
        <v>1549.3106200000009</v>
      </c>
    </row>
    <row r="47" spans="2:12" hidden="1" outlineLevel="1" x14ac:dyDescent="0.35">
      <c r="B47" s="89" t="str">
        <f>B44&amp;": Optimistic Case"</f>
        <v>EBIAT: Optimistic Case</v>
      </c>
      <c r="C47" s="1"/>
      <c r="D47" s="205"/>
      <c r="E47" s="205"/>
      <c r="F47" s="206"/>
      <c r="G47" s="88">
        <f t="shared" ref="G47:K47" si="21">SUM(G38,G43)</f>
        <v>1106.2999999999997</v>
      </c>
      <c r="H47" s="88">
        <f t="shared" si="21"/>
        <v>1272.2449999999997</v>
      </c>
      <c r="I47" s="88">
        <f t="shared" si="21"/>
        <v>1463.0817499999994</v>
      </c>
      <c r="J47" s="88">
        <f t="shared" si="21"/>
        <v>1682.5440124999991</v>
      </c>
      <c r="K47" s="88">
        <f t="shared" si="21"/>
        <v>1934.9256143749992</v>
      </c>
    </row>
    <row r="48" spans="2:12" ht="4" customHeight="1" collapsed="1" x14ac:dyDescent="0.35">
      <c r="B48" s="1"/>
      <c r="C48" s="1"/>
      <c r="D48" s="205"/>
      <c r="E48" s="205"/>
      <c r="F48" s="206"/>
      <c r="G48" s="88"/>
      <c r="H48" s="88"/>
      <c r="I48" s="88"/>
      <c r="J48" s="88"/>
      <c r="K48" s="88"/>
    </row>
    <row r="49" spans="2:11" x14ac:dyDescent="0.35">
      <c r="B49" s="95" t="s">
        <v>111</v>
      </c>
      <c r="C49" s="95"/>
      <c r="D49" s="226">
        <f t="shared" ref="D49:F49" si="22">D91</f>
        <v>32</v>
      </c>
      <c r="E49" s="226">
        <f t="shared" si="22"/>
        <v>39</v>
      </c>
      <c r="F49" s="225">
        <f>F91</f>
        <v>54</v>
      </c>
      <c r="G49" s="203">
        <f>G91</f>
        <v>67.467933491686466</v>
      </c>
      <c r="H49" s="203">
        <f t="shared" ref="H49:K49" si="23">H91</f>
        <v>84.294852771085701</v>
      </c>
      <c r="I49" s="203">
        <f t="shared" si="23"/>
        <v>105.31850963798355</v>
      </c>
      <c r="J49" s="203">
        <f t="shared" si="23"/>
        <v>131.58559636479657</v>
      </c>
      <c r="K49" s="203">
        <f t="shared" si="23"/>
        <v>164.40385674081472</v>
      </c>
    </row>
    <row r="50" spans="2:11" x14ac:dyDescent="0.35">
      <c r="B50" s="95" t="s">
        <v>45</v>
      </c>
      <c r="C50" s="95"/>
      <c r="D50" s="218">
        <f>D92</f>
        <v>76</v>
      </c>
      <c r="E50" s="218">
        <f t="shared" ref="E50:F50" si="24">E92</f>
        <v>191</v>
      </c>
      <c r="F50" s="219">
        <f t="shared" si="24"/>
        <v>159</v>
      </c>
      <c r="G50" s="203">
        <f>G92</f>
        <v>198.65558194774346</v>
      </c>
      <c r="H50" s="203">
        <f t="shared" ref="H50:K50" si="25">H92</f>
        <v>248.20151093708566</v>
      </c>
      <c r="I50" s="203">
        <f t="shared" si="25"/>
        <v>310.10450060072935</v>
      </c>
      <c r="J50" s="203">
        <f t="shared" si="25"/>
        <v>387.4464781852343</v>
      </c>
      <c r="K50" s="203">
        <f t="shared" si="25"/>
        <v>484.0780226257321</v>
      </c>
    </row>
    <row r="51" spans="2:11" x14ac:dyDescent="0.35">
      <c r="B51" s="95" t="s">
        <v>46</v>
      </c>
      <c r="C51" s="95"/>
      <c r="D51" s="218">
        <f t="shared" ref="D51:F51" si="26">D55-C55</f>
        <v>109</v>
      </c>
      <c r="E51" s="218">
        <f t="shared" si="26"/>
        <v>166</v>
      </c>
      <c r="F51" s="219">
        <f t="shared" si="26"/>
        <v>-127</v>
      </c>
      <c r="G51" s="96">
        <f>G55-F55</f>
        <v>16.94402250351618</v>
      </c>
      <c r="H51" s="96">
        <f>H55-G55</f>
        <v>18.883886683243645</v>
      </c>
      <c r="I51" s="96">
        <f>I55-H55</f>
        <v>21.045839392126823</v>
      </c>
      <c r="J51" s="96">
        <f>J55-I55</f>
        <v>23.455306799326877</v>
      </c>
      <c r="K51" s="96">
        <f>K55-J55</f>
        <v>26.140626030642125</v>
      </c>
    </row>
    <row r="52" spans="2:11" hidden="1" outlineLevel="1" x14ac:dyDescent="0.35">
      <c r="B52" s="106" t="str">
        <f>B51&amp;": Conservative Case"</f>
        <v>Less: Change in Non-Cash NWC: Conservative Case</v>
      </c>
      <c r="C52" s="95"/>
      <c r="D52" s="218"/>
      <c r="E52" s="218"/>
      <c r="F52" s="219"/>
      <c r="G52" s="96">
        <f>G56-F$55</f>
        <v>7.4000000000000909</v>
      </c>
      <c r="H52" s="96">
        <f t="shared" ref="G52:K52" si="27">H56-G56</f>
        <v>7.7699999999998681</v>
      </c>
      <c r="I52" s="96">
        <f t="shared" si="27"/>
        <v>8.158500000000231</v>
      </c>
      <c r="J52" s="96">
        <f t="shared" si="27"/>
        <v>8.5664249999998674</v>
      </c>
      <c r="K52" s="96">
        <f t="shared" si="27"/>
        <v>8.9947462499999347</v>
      </c>
    </row>
    <row r="53" spans="2:11" hidden="1" outlineLevel="1" x14ac:dyDescent="0.35">
      <c r="B53" s="106" t="str">
        <f>B51&amp;": Base Case"</f>
        <v>Less: Change in Non-Cash NWC: Base Case</v>
      </c>
      <c r="C53" s="95"/>
      <c r="D53" s="218"/>
      <c r="E53" s="218"/>
      <c r="F53" s="219"/>
      <c r="G53" s="96">
        <f t="shared" ref="G53:G54" si="28">G57-F$55</f>
        <v>14.799999999999955</v>
      </c>
      <c r="H53" s="96">
        <f t="shared" ref="G53:K53" si="29">H57-G57</f>
        <v>16.2800000000002</v>
      </c>
      <c r="I53" s="96">
        <f t="shared" si="29"/>
        <v>17.907999999999788</v>
      </c>
      <c r="J53" s="96">
        <f t="shared" si="29"/>
        <v>19.698800000000233</v>
      </c>
      <c r="K53" s="96">
        <f t="shared" si="29"/>
        <v>21.668680000000222</v>
      </c>
    </row>
    <row r="54" spans="2:11" hidden="1" outlineLevel="1" x14ac:dyDescent="0.35">
      <c r="B54" s="106" t="str">
        <f>B51&amp;": Optimistic Case"</f>
        <v>Less: Change in Non-Cash NWC: Optimistic Case</v>
      </c>
      <c r="C54" s="95"/>
      <c r="D54" s="218"/>
      <c r="E54" s="218"/>
      <c r="F54" s="219"/>
      <c r="G54" s="96">
        <f t="shared" si="28"/>
        <v>22.199999999999932</v>
      </c>
      <c r="H54" s="96">
        <f t="shared" ref="G54:K54" si="30">H58-G58</f>
        <v>25.530000000000086</v>
      </c>
      <c r="I54" s="96">
        <f t="shared" si="30"/>
        <v>29.359499999999912</v>
      </c>
      <c r="J54" s="96">
        <f t="shared" si="30"/>
        <v>33.763424999999984</v>
      </c>
      <c r="K54" s="96">
        <f t="shared" si="30"/>
        <v>38.827938750000158</v>
      </c>
    </row>
    <row r="55" spans="2:11" collapsed="1" x14ac:dyDescent="0.35">
      <c r="B55" s="108" t="s">
        <v>47</v>
      </c>
      <c r="C55" s="109"/>
      <c r="D55" s="209">
        <f>D59-D63</f>
        <v>109</v>
      </c>
      <c r="E55" s="209">
        <f>E59-E63</f>
        <v>275</v>
      </c>
      <c r="F55" s="210">
        <f>F59-F63</f>
        <v>148</v>
      </c>
      <c r="G55" s="96">
        <f>G59-G63</f>
        <v>164.94402250351618</v>
      </c>
      <c r="H55" s="96">
        <f>H59-H63</f>
        <v>183.82790918675983</v>
      </c>
      <c r="I55" s="96">
        <f>I59-I63</f>
        <v>204.87374857888665</v>
      </c>
      <c r="J55" s="96">
        <f>J59-J63</f>
        <v>228.32905537821352</v>
      </c>
      <c r="K55" s="96">
        <f>K59-K63</f>
        <v>254.46968140885565</v>
      </c>
    </row>
    <row r="56" spans="2:11" hidden="1" outlineLevel="1" x14ac:dyDescent="0.35">
      <c r="B56" s="106" t="str">
        <f>B55&amp;": Conservative Case"</f>
        <v>Non-Cash Net Working Capital (NWC): Conservative Case</v>
      </c>
      <c r="C56" s="109"/>
      <c r="D56" s="209"/>
      <c r="E56" s="209"/>
      <c r="F56" s="210"/>
      <c r="G56" s="96">
        <f>G60-G64</f>
        <v>155.40000000000009</v>
      </c>
      <c r="H56" s="96">
        <f>H60-H64</f>
        <v>163.16999999999996</v>
      </c>
      <c r="I56" s="96">
        <f>I60-I64</f>
        <v>171.32850000000019</v>
      </c>
      <c r="J56" s="96">
        <f>J60-J64</f>
        <v>179.89492500000006</v>
      </c>
      <c r="K56" s="96">
        <f>K60-K64</f>
        <v>188.88967124999999</v>
      </c>
    </row>
    <row r="57" spans="2:11" hidden="1" outlineLevel="1" x14ac:dyDescent="0.35">
      <c r="B57" s="106" t="str">
        <f>B55&amp;": Base Case"</f>
        <v>Non-Cash Net Working Capital (NWC): Base Case</v>
      </c>
      <c r="C57" s="109"/>
      <c r="D57" s="209"/>
      <c r="E57" s="209"/>
      <c r="F57" s="210"/>
      <c r="G57" s="96">
        <f>G61-G65</f>
        <v>162.79999999999995</v>
      </c>
      <c r="H57" s="96">
        <f>H61-H65</f>
        <v>179.08000000000015</v>
      </c>
      <c r="I57" s="96">
        <f>I61-I65</f>
        <v>196.98799999999994</v>
      </c>
      <c r="J57" s="96">
        <f>J61-J65</f>
        <v>216.68680000000018</v>
      </c>
      <c r="K57" s="96">
        <f>K61-K65</f>
        <v>238.3554800000004</v>
      </c>
    </row>
    <row r="58" spans="2:11" hidden="1" outlineLevel="1" x14ac:dyDescent="0.35">
      <c r="B58" s="106" t="str">
        <f>B55&amp;": Optimistic Case"</f>
        <v>Non-Cash Net Working Capital (NWC): Optimistic Case</v>
      </c>
      <c r="C58" s="109"/>
      <c r="D58" s="209"/>
      <c r="E58" s="209"/>
      <c r="F58" s="210"/>
      <c r="G58" s="96">
        <f>G62-G66</f>
        <v>170.19999999999993</v>
      </c>
      <c r="H58" s="96">
        <f>H62-H66</f>
        <v>195.73000000000002</v>
      </c>
      <c r="I58" s="96">
        <f>I62-I66</f>
        <v>225.08949999999993</v>
      </c>
      <c r="J58" s="96">
        <f>J62-J66</f>
        <v>258.85292499999991</v>
      </c>
      <c r="K58" s="96">
        <f>K62-K66</f>
        <v>297.68086375000007</v>
      </c>
    </row>
    <row r="59" spans="2:11" collapsed="1" x14ac:dyDescent="0.35">
      <c r="B59" s="108" t="s">
        <v>48</v>
      </c>
      <c r="C59" s="109"/>
      <c r="D59" s="209">
        <f>D119</f>
        <v>454</v>
      </c>
      <c r="E59" s="209">
        <f>E119</f>
        <v>835</v>
      </c>
      <c r="F59" s="210">
        <f>F119</f>
        <v>761</v>
      </c>
      <c r="G59" s="96">
        <f>G119</f>
        <v>848.12433192686353</v>
      </c>
      <c r="H59" s="96">
        <f t="shared" ref="H59:K59" si="31">H119</f>
        <v>945.22323575083919</v>
      </c>
      <c r="I59" s="96">
        <f t="shared" si="31"/>
        <v>1053.4386666792755</v>
      </c>
      <c r="J59" s="96">
        <f t="shared" si="31"/>
        <v>1174.0433185325708</v>
      </c>
      <c r="K59" s="96">
        <f t="shared" si="31"/>
        <v>1308.4555915685078</v>
      </c>
    </row>
    <row r="60" spans="2:11" hidden="1" outlineLevel="1" x14ac:dyDescent="0.35">
      <c r="B60" s="106" t="str">
        <f>B59&amp;": Conservative Case"</f>
        <v>Non-Cash Current Assets: Conservative Case</v>
      </c>
      <c r="C60" s="109"/>
      <c r="D60" s="209"/>
      <c r="E60" s="209"/>
      <c r="F60" s="210"/>
      <c r="G60" s="96">
        <f>G120</f>
        <v>799.05000000000018</v>
      </c>
      <c r="H60" s="96">
        <f t="shared" ref="H60:K60" si="32">H120</f>
        <v>839.00250000000005</v>
      </c>
      <c r="I60" s="96">
        <f t="shared" si="32"/>
        <v>880.95262500000024</v>
      </c>
      <c r="J60" s="96">
        <f t="shared" si="32"/>
        <v>925.00025625000023</v>
      </c>
      <c r="K60" s="96">
        <f t="shared" si="32"/>
        <v>971.25026906250037</v>
      </c>
    </row>
    <row r="61" spans="2:11" hidden="1" outlineLevel="1" x14ac:dyDescent="0.35">
      <c r="B61" s="106" t="str">
        <f>B59&amp;": Base Case"</f>
        <v>Non-Cash Current Assets: Base Case</v>
      </c>
      <c r="C61" s="109"/>
      <c r="D61" s="209"/>
      <c r="E61" s="209"/>
      <c r="F61" s="210"/>
      <c r="G61" s="96">
        <f t="shared" ref="G61:K61" si="33">G121</f>
        <v>837.10000000000014</v>
      </c>
      <c r="H61" s="96">
        <f t="shared" si="33"/>
        <v>920.8100000000004</v>
      </c>
      <c r="I61" s="96">
        <f t="shared" si="33"/>
        <v>1012.8910000000004</v>
      </c>
      <c r="J61" s="96">
        <f t="shared" si="33"/>
        <v>1114.1801000000007</v>
      </c>
      <c r="K61" s="96">
        <f t="shared" si="33"/>
        <v>1225.598110000001</v>
      </c>
    </row>
    <row r="62" spans="2:11" hidden="1" outlineLevel="1" x14ac:dyDescent="0.35">
      <c r="B62" s="106" t="str">
        <f>B59&amp;": Optimistic Case"</f>
        <v>Non-Cash Current Assets: Optimistic Case</v>
      </c>
      <c r="C62" s="109"/>
      <c r="D62" s="209"/>
      <c r="E62" s="209"/>
      <c r="F62" s="210"/>
      <c r="G62" s="96">
        <f t="shared" ref="G62:K62" si="34">G122</f>
        <v>875.14999999999986</v>
      </c>
      <c r="H62" s="96">
        <f t="shared" si="34"/>
        <v>1006.4224999999999</v>
      </c>
      <c r="I62" s="96">
        <f t="shared" si="34"/>
        <v>1157.3858749999997</v>
      </c>
      <c r="J62" s="96">
        <f t="shared" si="34"/>
        <v>1330.9937562499997</v>
      </c>
      <c r="K62" s="96">
        <f t="shared" si="34"/>
        <v>1530.6428196874997</v>
      </c>
    </row>
    <row r="63" spans="2:11" collapsed="1" x14ac:dyDescent="0.35">
      <c r="B63" s="76" t="s">
        <v>49</v>
      </c>
      <c r="C63" s="109"/>
      <c r="D63" s="209">
        <f>D136</f>
        <v>345</v>
      </c>
      <c r="E63" s="209">
        <f>E136</f>
        <v>560</v>
      </c>
      <c r="F63" s="210">
        <f>F136</f>
        <v>613</v>
      </c>
      <c r="G63" s="96">
        <f>G136</f>
        <v>683.18030942334735</v>
      </c>
      <c r="H63" s="96">
        <f t="shared" ref="H63:K63" si="35">H136</f>
        <v>761.39532656407937</v>
      </c>
      <c r="I63" s="96">
        <f t="shared" si="35"/>
        <v>848.56491810038881</v>
      </c>
      <c r="J63" s="96">
        <f t="shared" si="35"/>
        <v>945.71426315435724</v>
      </c>
      <c r="K63" s="96">
        <f t="shared" si="35"/>
        <v>1053.9859101596521</v>
      </c>
    </row>
    <row r="64" spans="2:11" hidden="1" outlineLevel="1" x14ac:dyDescent="0.35">
      <c r="B64" s="106" t="str">
        <f>B63&amp;": Conservative Case"</f>
        <v>Non-Cash Current Liabilities: Conservative Case</v>
      </c>
      <c r="C64" s="109"/>
      <c r="D64" s="209"/>
      <c r="E64" s="209"/>
      <c r="F64" s="210"/>
      <c r="G64" s="96">
        <f>G137</f>
        <v>643.65000000000009</v>
      </c>
      <c r="H64" s="96">
        <f t="shared" ref="H64:K64" si="36">H137</f>
        <v>675.8325000000001</v>
      </c>
      <c r="I64" s="96">
        <f t="shared" si="36"/>
        <v>709.62412500000005</v>
      </c>
      <c r="J64" s="96">
        <f t="shared" si="36"/>
        <v>745.10533125000018</v>
      </c>
      <c r="K64" s="96">
        <f t="shared" si="36"/>
        <v>782.36059781250037</v>
      </c>
    </row>
    <row r="65" spans="2:12" hidden="1" outlineLevel="1" x14ac:dyDescent="0.35">
      <c r="B65" s="106" t="str">
        <f>B63&amp;": Base Case"</f>
        <v>Non-Cash Current Liabilities: Base Case</v>
      </c>
      <c r="C65" s="109"/>
      <c r="D65" s="209"/>
      <c r="E65" s="209"/>
      <c r="F65" s="210"/>
      <c r="G65" s="96">
        <f t="shared" ref="G65:K65" si="37">G138</f>
        <v>674.30000000000018</v>
      </c>
      <c r="H65" s="96">
        <f t="shared" si="37"/>
        <v>741.73000000000025</v>
      </c>
      <c r="I65" s="96">
        <f t="shared" si="37"/>
        <v>815.90300000000047</v>
      </c>
      <c r="J65" s="96">
        <f t="shared" si="37"/>
        <v>897.49330000000054</v>
      </c>
      <c r="K65" s="96">
        <f t="shared" si="37"/>
        <v>987.24263000000064</v>
      </c>
    </row>
    <row r="66" spans="2:12" hidden="1" outlineLevel="1" x14ac:dyDescent="0.35">
      <c r="B66" s="106" t="str">
        <f>B63&amp;": Optimistic Case"</f>
        <v>Non-Cash Current Liabilities: Optimistic Case</v>
      </c>
      <c r="C66" s="109"/>
      <c r="D66" s="209"/>
      <c r="E66" s="209"/>
      <c r="F66" s="210"/>
      <c r="G66" s="96">
        <f t="shared" ref="G66:K66" si="38">G139</f>
        <v>704.94999999999993</v>
      </c>
      <c r="H66" s="96">
        <f t="shared" si="38"/>
        <v>810.69249999999988</v>
      </c>
      <c r="I66" s="96">
        <f t="shared" si="38"/>
        <v>932.29637499999978</v>
      </c>
      <c r="J66" s="96">
        <f t="shared" si="38"/>
        <v>1072.1408312499998</v>
      </c>
      <c r="K66" s="96">
        <f t="shared" si="38"/>
        <v>1232.9619559374996</v>
      </c>
    </row>
    <row r="67" spans="2:12" ht="14.5" collapsed="1" thickBot="1" x14ac:dyDescent="0.4">
      <c r="B67" s="110" t="s">
        <v>0</v>
      </c>
      <c r="C67" s="110"/>
      <c r="D67" s="220">
        <f>IFERROR(D$44+D$49-D$50-D$51,"")</f>
        <v>592</v>
      </c>
      <c r="E67" s="220">
        <f>IFERROR(E$44+E$49-E$50-E$51,"")</f>
        <v>355</v>
      </c>
      <c r="F67" s="221">
        <f>IFERROR(F$44+F$49-F$50-F$51,"")</f>
        <v>984</v>
      </c>
      <c r="G67" s="111">
        <f>G$44+G$49-G$50-G$51</f>
        <v>924.00447531328132</v>
      </c>
      <c r="H67" s="111">
        <f>H$44+H$49-H$50-H$51</f>
        <v>1012.0908648646946</v>
      </c>
      <c r="I67" s="111">
        <f>I$44+I$49-I$50-I$51</f>
        <v>1105.8475354078905</v>
      </c>
      <c r="J67" s="111">
        <f>J$44+J$49-J$50-J$51</f>
        <v>1204.8226713386225</v>
      </c>
      <c r="K67" s="111">
        <f>K$44+K$49-K$50-K$51</f>
        <v>1308.2381372420016</v>
      </c>
    </row>
    <row r="68" spans="2:12" ht="15" thickTop="1" thickBot="1" x14ac:dyDescent="0.4">
      <c r="B68" s="112" t="s">
        <v>50</v>
      </c>
      <c r="C68" s="110"/>
      <c r="D68" s="220"/>
      <c r="E68" s="220"/>
      <c r="F68" s="222">
        <f>$F$44+$F$49-$F$50-$F$51</f>
        <v>984</v>
      </c>
      <c r="G68" s="111">
        <f>G45+G$49-G$50-G52</f>
        <v>871.51235154394271</v>
      </c>
      <c r="H68" s="111">
        <f t="shared" ref="H68:K68" si="39">H45+H$49-H$50-H52</f>
        <v>888.92834183400021</v>
      </c>
      <c r="I68" s="111">
        <f t="shared" si="39"/>
        <v>900.69075903725366</v>
      </c>
      <c r="J68" s="111">
        <f t="shared" si="39"/>
        <v>904.88970567956255</v>
      </c>
      <c r="K68" s="111">
        <f t="shared" si="39"/>
        <v>899.11395099008269</v>
      </c>
    </row>
    <row r="69" spans="2:12" ht="15" thickTop="1" thickBot="1" x14ac:dyDescent="0.4">
      <c r="B69" s="112" t="s">
        <v>51</v>
      </c>
      <c r="C69" s="110"/>
      <c r="D69" s="220"/>
      <c r="E69" s="223"/>
      <c r="F69" s="221">
        <f>$F$44+$F$49-$F$50-$F$51</f>
        <v>984</v>
      </c>
      <c r="G69" s="111">
        <f t="shared" ref="G69:K69" si="40">G46+G$49-G$50-G53</f>
        <v>912.21235154394276</v>
      </c>
      <c r="H69" s="111">
        <f t="shared" si="40"/>
        <v>983.83334183400007</v>
      </c>
      <c r="I69" s="111">
        <f t="shared" si="40"/>
        <v>1057.7280090372547</v>
      </c>
      <c r="J69" s="111">
        <f t="shared" si="40"/>
        <v>1132.9045181795627</v>
      </c>
      <c r="K69" s="111">
        <f t="shared" si="40"/>
        <v>1207.9677741150833</v>
      </c>
    </row>
    <row r="70" spans="2:12" ht="15" thickTop="1" thickBot="1" x14ac:dyDescent="0.4">
      <c r="B70" s="112" t="s">
        <v>52</v>
      </c>
      <c r="C70" s="110"/>
      <c r="D70" s="220"/>
      <c r="E70" s="223"/>
      <c r="F70" s="221">
        <f>$F$44+$F$49-$F$50-$F$51</f>
        <v>984</v>
      </c>
      <c r="G70" s="111">
        <f t="shared" ref="G70:K70" si="41">G47+G$49-G$50-G54</f>
        <v>952.91235154394269</v>
      </c>
      <c r="H70" s="111">
        <f t="shared" si="41"/>
        <v>1082.8083418339997</v>
      </c>
      <c r="I70" s="111">
        <f t="shared" si="41"/>
        <v>1228.9362590372539</v>
      </c>
      <c r="J70" s="111">
        <f t="shared" si="41"/>
        <v>1392.9197056795615</v>
      </c>
      <c r="K70" s="111">
        <f t="shared" si="41"/>
        <v>1576.423509740082</v>
      </c>
    </row>
    <row r="71" spans="2:12" ht="14.5" thickTop="1" x14ac:dyDescent="0.35">
      <c r="B71" s="1"/>
      <c r="C71" s="1"/>
      <c r="D71" s="88"/>
      <c r="E71" s="88"/>
      <c r="F71" s="88"/>
      <c r="G71" s="88"/>
      <c r="H71" s="88"/>
      <c r="I71" s="88"/>
      <c r="J71" s="88"/>
      <c r="K71" s="88"/>
    </row>
    <row r="72" spans="2:12" ht="14" customHeight="1" x14ac:dyDescent="0.35">
      <c r="B72" s="113" t="s">
        <v>53</v>
      </c>
      <c r="C72" s="114"/>
      <c r="D72" s="192"/>
      <c r="E72" s="192"/>
      <c r="F72" s="192"/>
      <c r="G72" s="192"/>
      <c r="H72" s="192"/>
      <c r="I72" s="192"/>
      <c r="J72" s="192"/>
      <c r="K72" s="192"/>
    </row>
    <row r="73" spans="2:12" ht="14.5" thickBot="1" x14ac:dyDescent="0.4">
      <c r="B73" s="115" t="s">
        <v>42</v>
      </c>
      <c r="C73" s="115"/>
      <c r="D73" s="160">
        <f t="shared" ref="D73:K73" si="42">D5</f>
        <v>2021</v>
      </c>
      <c r="E73" s="160">
        <f t="shared" si="42"/>
        <v>2022</v>
      </c>
      <c r="F73" s="160">
        <f t="shared" si="42"/>
        <v>2023</v>
      </c>
      <c r="G73" s="193">
        <f t="shared" si="42"/>
        <v>2024</v>
      </c>
      <c r="H73" s="162">
        <f t="shared" si="42"/>
        <v>2025</v>
      </c>
      <c r="I73" s="162">
        <f t="shared" si="42"/>
        <v>2026</v>
      </c>
      <c r="J73" s="162">
        <f t="shared" si="42"/>
        <v>2027</v>
      </c>
      <c r="K73" s="162">
        <f t="shared" si="42"/>
        <v>2028</v>
      </c>
    </row>
    <row r="74" spans="2:12" ht="8" customHeight="1" x14ac:dyDescent="0.35">
      <c r="B74" s="116"/>
      <c r="C74" s="116"/>
      <c r="D74" s="168"/>
      <c r="E74" s="168"/>
      <c r="F74" s="168"/>
      <c r="G74" s="194"/>
      <c r="H74" s="170"/>
      <c r="I74" s="170"/>
      <c r="J74" s="170"/>
      <c r="K74" s="170"/>
    </row>
    <row r="75" spans="2:12" x14ac:dyDescent="0.35">
      <c r="B75" s="117" t="s">
        <v>54</v>
      </c>
      <c r="C75" s="117"/>
      <c r="D75" s="176" t="str">
        <f>IFERROR(D7/#REF!-1,"")</f>
        <v/>
      </c>
      <c r="E75" s="176">
        <f>IFERROR(E7/D7-1,"")</f>
        <v>0.53696498054474717</v>
      </c>
      <c r="F75" s="176">
        <f>IFERROR(F7/E7-1,"")</f>
        <v>0.11448663853727137</v>
      </c>
      <c r="G75" s="177">
        <f>F75</f>
        <v>0.11448663853727137</v>
      </c>
      <c r="H75" s="176">
        <f t="shared" ref="H75:K75" si="43">G75</f>
        <v>0.11448663853727137</v>
      </c>
      <c r="I75" s="176">
        <f t="shared" si="43"/>
        <v>0.11448663853727137</v>
      </c>
      <c r="J75" s="176">
        <f t="shared" si="43"/>
        <v>0.11448663853727137</v>
      </c>
      <c r="K75" s="176">
        <f t="shared" si="43"/>
        <v>0.11448663853727137</v>
      </c>
    </row>
    <row r="76" spans="2:12" x14ac:dyDescent="0.35">
      <c r="B76" s="118" t="s">
        <v>55</v>
      </c>
      <c r="C76" s="117"/>
      <c r="D76" s="176"/>
      <c r="E76" s="176"/>
      <c r="F76" s="195"/>
      <c r="G76" s="196">
        <v>0.05</v>
      </c>
      <c r="H76" s="196">
        <v>0.05</v>
      </c>
      <c r="I76" s="196">
        <v>0.05</v>
      </c>
      <c r="J76" s="196">
        <v>0.05</v>
      </c>
      <c r="K76" s="196">
        <v>0.05</v>
      </c>
      <c r="L76" s="119"/>
    </row>
    <row r="77" spans="2:12" x14ac:dyDescent="0.35">
      <c r="B77" s="118" t="s">
        <v>56</v>
      </c>
      <c r="C77" s="117"/>
      <c r="D77" s="176"/>
      <c r="E77" s="176"/>
      <c r="F77" s="195"/>
      <c r="G77" s="196">
        <v>0.1</v>
      </c>
      <c r="H77" s="197">
        <v>0.1</v>
      </c>
      <c r="I77" s="197">
        <v>0.1</v>
      </c>
      <c r="J77" s="197">
        <v>0.1</v>
      </c>
      <c r="K77" s="197">
        <v>0.1</v>
      </c>
      <c r="L77" s="119"/>
    </row>
    <row r="78" spans="2:12" x14ac:dyDescent="0.35">
      <c r="B78" s="118" t="s">
        <v>57</v>
      </c>
      <c r="C78" s="117"/>
      <c r="D78" s="176"/>
      <c r="E78" s="176"/>
      <c r="F78" s="195"/>
      <c r="G78" s="196">
        <v>0.15</v>
      </c>
      <c r="H78" s="197">
        <v>0.15</v>
      </c>
      <c r="I78" s="197">
        <v>0.15</v>
      </c>
      <c r="J78" s="197">
        <v>0.15</v>
      </c>
      <c r="K78" s="197">
        <v>0.15</v>
      </c>
      <c r="L78" s="119"/>
    </row>
    <row r="79" spans="2:12" ht="8" customHeight="1" x14ac:dyDescent="0.35">
      <c r="B79" s="117"/>
      <c r="C79" s="117"/>
      <c r="D79" s="176"/>
      <c r="E79" s="176"/>
      <c r="F79" s="195"/>
      <c r="G79" s="198"/>
      <c r="H79" s="176"/>
      <c r="I79" s="176"/>
      <c r="J79" s="176"/>
      <c r="K79" s="176"/>
    </row>
    <row r="80" spans="2:12" x14ac:dyDescent="0.35">
      <c r="B80" s="117" t="s">
        <v>58</v>
      </c>
      <c r="C80" s="117"/>
      <c r="D80" s="176">
        <f>IFERROR(D11/D$7,"")</f>
        <v>0.38607868568958065</v>
      </c>
      <c r="E80" s="176">
        <f>IFERROR(E11/E$7,"")</f>
        <v>0.47679324894514769</v>
      </c>
      <c r="F80" s="195">
        <f>IFERROR(F11/F$7,"")</f>
        <v>0.44220090863200406</v>
      </c>
      <c r="G80" s="198">
        <f>F80</f>
        <v>0.44220090863200406</v>
      </c>
      <c r="H80" s="176">
        <f t="shared" ref="H80:K82" si="44">G80</f>
        <v>0.44220090863200406</v>
      </c>
      <c r="I80" s="176">
        <f t="shared" si="44"/>
        <v>0.44220090863200406</v>
      </c>
      <c r="J80" s="176">
        <f t="shared" si="44"/>
        <v>0.44220090863200406</v>
      </c>
      <c r="K80" s="176">
        <f t="shared" si="44"/>
        <v>0.44220090863200406</v>
      </c>
    </row>
    <row r="81" spans="2:11" x14ac:dyDescent="0.35">
      <c r="B81" s="117" t="s">
        <v>59</v>
      </c>
      <c r="C81" s="117"/>
      <c r="D81" s="176">
        <f>IFERROR(D20/D$7,"")</f>
        <v>0.31863380890618243</v>
      </c>
      <c r="E81" s="176">
        <f>IFERROR(E20/E$7,"")</f>
        <v>0.2841068917018284</v>
      </c>
      <c r="F81" s="195">
        <f>IFERROR(F20/F$7,"")</f>
        <v>0.2937910146390712</v>
      </c>
      <c r="G81" s="198">
        <f>F81</f>
        <v>0.2937910146390712</v>
      </c>
      <c r="H81" s="176">
        <f t="shared" si="44"/>
        <v>0.2937910146390712</v>
      </c>
      <c r="I81" s="176">
        <f t="shared" si="44"/>
        <v>0.2937910146390712</v>
      </c>
      <c r="J81" s="176">
        <f t="shared" si="44"/>
        <v>0.2937910146390712</v>
      </c>
      <c r="K81" s="176">
        <f t="shared" si="44"/>
        <v>0.2937910146390712</v>
      </c>
    </row>
    <row r="82" spans="2:11" x14ac:dyDescent="0.35">
      <c r="B82" s="117" t="s">
        <v>60</v>
      </c>
      <c r="C82" s="117"/>
      <c r="D82" s="176">
        <f>IFERROR((D40/D35),"")</f>
        <v>9.0775988286969256E-2</v>
      </c>
      <c r="E82" s="176">
        <f>IFERROR((E40/E35),"")</f>
        <v>-0.209165687426557</v>
      </c>
      <c r="F82" s="176">
        <f>IFERROR((F40/F35),"")</f>
        <v>-8.0305927342256209E-2</v>
      </c>
      <c r="G82" s="177">
        <f>F82</f>
        <v>-8.0305927342256209E-2</v>
      </c>
      <c r="H82" s="176">
        <f t="shared" si="44"/>
        <v>-8.0305927342256209E-2</v>
      </c>
      <c r="I82" s="176">
        <f t="shared" si="44"/>
        <v>-8.0305927342256209E-2</v>
      </c>
      <c r="J82" s="176">
        <f t="shared" si="44"/>
        <v>-8.0305927342256209E-2</v>
      </c>
      <c r="K82" s="176">
        <f t="shared" si="44"/>
        <v>-8.0305927342256209E-2</v>
      </c>
    </row>
    <row r="83" spans="2:11" x14ac:dyDescent="0.35">
      <c r="B83" s="120"/>
      <c r="C83" s="120"/>
      <c r="D83" s="178"/>
      <c r="E83" s="178"/>
      <c r="F83" s="178"/>
      <c r="G83" s="179"/>
      <c r="H83" s="178"/>
      <c r="I83" s="178"/>
      <c r="J83" s="178"/>
      <c r="K83" s="178"/>
    </row>
    <row r="85" spans="2:11" ht="17" x14ac:dyDescent="0.45">
      <c r="B85" s="78" t="s">
        <v>61</v>
      </c>
      <c r="C85" s="113"/>
      <c r="D85" s="167"/>
      <c r="E85" s="167"/>
      <c r="F85" s="167"/>
      <c r="G85" s="167"/>
      <c r="H85" s="167"/>
      <c r="I85" s="167"/>
      <c r="J85" s="167"/>
      <c r="K85" s="167"/>
    </row>
    <row r="86" spans="2:11" x14ac:dyDescent="0.35">
      <c r="B86" s="4" t="str">
        <f>CONCATENATE("Crocs"," (","CROX",")")</f>
        <v>Crocs (CROX)</v>
      </c>
      <c r="C86" s="4"/>
      <c r="D86" s="189"/>
      <c r="E86" s="189"/>
      <c r="F86" s="189"/>
      <c r="G86" s="189"/>
      <c r="H86" s="189"/>
      <c r="I86" s="189"/>
      <c r="J86" s="189"/>
      <c r="K86" s="189"/>
    </row>
    <row r="87" spans="2:11" x14ac:dyDescent="0.35">
      <c r="B87" s="148" t="s">
        <v>13</v>
      </c>
      <c r="C87" s="80"/>
      <c r="D87" s="199" t="s">
        <v>41</v>
      </c>
      <c r="E87" s="199"/>
      <c r="F87" s="200"/>
      <c r="G87" s="199" t="s">
        <v>120</v>
      </c>
      <c r="H87" s="200"/>
      <c r="I87" s="200"/>
      <c r="J87" s="200"/>
      <c r="K87" s="200"/>
    </row>
    <row r="88" spans="2:11" ht="14.5" thickBot="1" x14ac:dyDescent="0.4">
      <c r="B88" s="81" t="s">
        <v>42</v>
      </c>
      <c r="C88" s="82"/>
      <c r="D88" s="180">
        <f>E88-1</f>
        <v>2021</v>
      </c>
      <c r="E88" s="180">
        <f>F88-1</f>
        <v>2022</v>
      </c>
      <c r="F88" s="180">
        <v>2023</v>
      </c>
      <c r="G88" s="181">
        <f>F88+1</f>
        <v>2024</v>
      </c>
      <c r="H88" s="182">
        <f t="shared" ref="H88:K88" si="45">G88+1</f>
        <v>2025</v>
      </c>
      <c r="I88" s="182">
        <f t="shared" si="45"/>
        <v>2026</v>
      </c>
      <c r="J88" s="182">
        <f t="shared" si="45"/>
        <v>2027</v>
      </c>
      <c r="K88" s="182">
        <f t="shared" si="45"/>
        <v>2028</v>
      </c>
    </row>
    <row r="89" spans="2:11" ht="8" customHeight="1" x14ac:dyDescent="0.35">
      <c r="B89" s="83"/>
      <c r="C89" s="84"/>
      <c r="D89" s="183"/>
      <c r="E89" s="183"/>
      <c r="F89" s="184"/>
      <c r="G89" s="185"/>
      <c r="H89" s="185"/>
      <c r="I89" s="185"/>
      <c r="J89" s="185"/>
      <c r="K89" s="185"/>
    </row>
    <row r="90" spans="2:11" x14ac:dyDescent="0.35">
      <c r="B90" s="21" t="s">
        <v>113</v>
      </c>
      <c r="C90" s="107"/>
      <c r="D90" s="146">
        <f>BS!E15</f>
        <v>225</v>
      </c>
      <c r="E90" s="146">
        <f>BS!F15</f>
        <v>269</v>
      </c>
      <c r="F90" s="147">
        <f>BS!G15</f>
        <v>421</v>
      </c>
      <c r="G90" s="96">
        <f>F93</f>
        <v>526</v>
      </c>
      <c r="H90" s="96">
        <f t="shared" ref="H90:K90" si="46">G93</f>
        <v>657.18764845605699</v>
      </c>
      <c r="I90" s="96">
        <f t="shared" si="46"/>
        <v>821.09430662205693</v>
      </c>
      <c r="J90" s="96">
        <f t="shared" si="46"/>
        <v>1025.8802975848027</v>
      </c>
      <c r="K90" s="96">
        <f t="shared" si="46"/>
        <v>1281.7411794052405</v>
      </c>
    </row>
    <row r="91" spans="2:11" x14ac:dyDescent="0.35">
      <c r="B91" s="77" t="s">
        <v>25</v>
      </c>
      <c r="C91" s="107"/>
      <c r="D91" s="146">
        <f>CFS!F10</f>
        <v>32</v>
      </c>
      <c r="E91" s="146">
        <f>CFS!G10</f>
        <v>39</v>
      </c>
      <c r="F91" s="147">
        <f>CFS!H10</f>
        <v>54</v>
      </c>
      <c r="G91" s="96">
        <f t="shared" ref="G91:K91" si="47">G90*G98</f>
        <v>67.467933491686466</v>
      </c>
      <c r="H91" s="96">
        <f t="shared" si="47"/>
        <v>84.294852771085701</v>
      </c>
      <c r="I91" s="96">
        <f t="shared" si="47"/>
        <v>105.31850963798355</v>
      </c>
      <c r="J91" s="96">
        <f t="shared" si="47"/>
        <v>131.58559636479657</v>
      </c>
      <c r="K91" s="96">
        <f t="shared" si="47"/>
        <v>164.40385674081472</v>
      </c>
    </row>
    <row r="92" spans="2:11" x14ac:dyDescent="0.35">
      <c r="B92" t="s">
        <v>26</v>
      </c>
      <c r="C92" s="107"/>
      <c r="D92" s="96">
        <f t="shared" ref="D92:E92" si="48">IFERROR(D93-D90+D91,"")</f>
        <v>76</v>
      </c>
      <c r="E92" s="96">
        <f t="shared" si="48"/>
        <v>191</v>
      </c>
      <c r="F92" s="97">
        <f>IFERROR(F93-F90+F91,"")</f>
        <v>159</v>
      </c>
      <c r="G92" s="96">
        <f t="shared" ref="G92:K92" si="49">G90*G99</f>
        <v>198.65558194774346</v>
      </c>
      <c r="H92" s="96">
        <f t="shared" si="49"/>
        <v>248.20151093708566</v>
      </c>
      <c r="I92" s="96">
        <f t="shared" si="49"/>
        <v>310.10450060072935</v>
      </c>
      <c r="J92" s="96">
        <f t="shared" si="49"/>
        <v>387.4464781852343</v>
      </c>
      <c r="K92" s="96">
        <f t="shared" si="49"/>
        <v>484.0780226257321</v>
      </c>
    </row>
    <row r="93" spans="2:11" ht="14.5" thickBot="1" x14ac:dyDescent="0.4">
      <c r="B93" s="30" t="s">
        <v>112</v>
      </c>
      <c r="C93" s="121"/>
      <c r="D93" s="122">
        <f>BS!F15</f>
        <v>269</v>
      </c>
      <c r="E93" s="122">
        <f>BS!G15</f>
        <v>421</v>
      </c>
      <c r="F93" s="123">
        <f>BS!H15</f>
        <v>526</v>
      </c>
      <c r="G93" s="111">
        <f t="shared" ref="G93:K93" si="50">G90-G91+G92</f>
        <v>657.18764845605699</v>
      </c>
      <c r="H93" s="111">
        <f t="shared" si="50"/>
        <v>821.09430662205693</v>
      </c>
      <c r="I93" s="111">
        <f t="shared" si="50"/>
        <v>1025.8802975848027</v>
      </c>
      <c r="J93" s="111">
        <f t="shared" si="50"/>
        <v>1281.7411794052405</v>
      </c>
      <c r="K93" s="111">
        <f t="shared" si="50"/>
        <v>1601.4153452901578</v>
      </c>
    </row>
    <row r="94" spans="2:11" ht="14.5" thickTop="1" x14ac:dyDescent="0.35">
      <c r="F94" s="186"/>
      <c r="G94" s="186"/>
    </row>
    <row r="95" spans="2:11" x14ac:dyDescent="0.35">
      <c r="B95" s="113" t="s">
        <v>62</v>
      </c>
      <c r="C95" s="79"/>
      <c r="D95" s="167"/>
      <c r="E95" s="167"/>
      <c r="F95" s="167"/>
      <c r="G95" s="167"/>
      <c r="H95" s="167"/>
      <c r="I95" s="167"/>
      <c r="J95" s="167"/>
      <c r="K95" s="167"/>
    </row>
    <row r="96" spans="2:11" ht="14.5" thickBot="1" x14ac:dyDescent="0.4">
      <c r="B96" s="115" t="s">
        <v>42</v>
      </c>
      <c r="C96" s="115"/>
      <c r="D96" s="160">
        <f t="shared" ref="D96:K96" si="51">D88</f>
        <v>2021</v>
      </c>
      <c r="E96" s="160">
        <f t="shared" si="51"/>
        <v>2022</v>
      </c>
      <c r="F96" s="161">
        <f t="shared" si="51"/>
        <v>2023</v>
      </c>
      <c r="G96" s="162">
        <f t="shared" si="51"/>
        <v>2024</v>
      </c>
      <c r="H96" s="162">
        <f t="shared" si="51"/>
        <v>2025</v>
      </c>
      <c r="I96" s="162">
        <f t="shared" si="51"/>
        <v>2026</v>
      </c>
      <c r="J96" s="162">
        <f t="shared" si="51"/>
        <v>2027</v>
      </c>
      <c r="K96" s="162">
        <f t="shared" si="51"/>
        <v>2028</v>
      </c>
    </row>
    <row r="97" spans="2:12" ht="8" customHeight="1" x14ac:dyDescent="0.35">
      <c r="B97" s="116"/>
      <c r="C97" s="116"/>
      <c r="D97" s="168"/>
      <c r="E97" s="168"/>
      <c r="F97" s="169"/>
      <c r="G97" s="170"/>
      <c r="H97" s="170"/>
      <c r="I97" s="170"/>
      <c r="J97" s="170"/>
      <c r="K97" s="170"/>
    </row>
    <row r="98" spans="2:12" x14ac:dyDescent="0.35">
      <c r="B98" s="124" t="s">
        <v>63</v>
      </c>
      <c r="C98" s="117"/>
      <c r="D98" s="176">
        <f t="shared" ref="D98:E98" si="52">IFERROR(D91/D90,"")</f>
        <v>0.14222222222222222</v>
      </c>
      <c r="E98" s="176">
        <f t="shared" si="52"/>
        <v>0.1449814126394052</v>
      </c>
      <c r="F98" s="176">
        <f>IFERROR(F91/F90,"")</f>
        <v>0.12826603325415678</v>
      </c>
      <c r="G98" s="177">
        <f>F98</f>
        <v>0.12826603325415678</v>
      </c>
      <c r="H98" s="176">
        <f t="shared" ref="H98:K99" si="53">G98</f>
        <v>0.12826603325415678</v>
      </c>
      <c r="I98" s="176">
        <f t="shared" si="53"/>
        <v>0.12826603325415678</v>
      </c>
      <c r="J98" s="176">
        <f t="shared" si="53"/>
        <v>0.12826603325415678</v>
      </c>
      <c r="K98" s="176">
        <f t="shared" si="53"/>
        <v>0.12826603325415678</v>
      </c>
    </row>
    <row r="99" spans="2:12" x14ac:dyDescent="0.35">
      <c r="B99" s="117" t="s">
        <v>64</v>
      </c>
      <c r="C99" s="117"/>
      <c r="D99" s="176">
        <f t="shared" ref="D99:E99" si="54">IFERROR(D92/D90,"")</f>
        <v>0.33777777777777779</v>
      </c>
      <c r="E99" s="176">
        <f t="shared" si="54"/>
        <v>0.71003717472118955</v>
      </c>
      <c r="F99" s="176">
        <f>IFERROR(F92/F90,"")</f>
        <v>0.37767220902612825</v>
      </c>
      <c r="G99" s="177">
        <f>F99</f>
        <v>0.37767220902612825</v>
      </c>
      <c r="H99" s="176">
        <f t="shared" si="53"/>
        <v>0.37767220902612825</v>
      </c>
      <c r="I99" s="176">
        <f t="shared" si="53"/>
        <v>0.37767220902612825</v>
      </c>
      <c r="J99" s="176">
        <f t="shared" si="53"/>
        <v>0.37767220902612825</v>
      </c>
      <c r="K99" s="176">
        <f t="shared" si="53"/>
        <v>0.37767220902612825</v>
      </c>
    </row>
    <row r="100" spans="2:12" ht="8" customHeight="1" x14ac:dyDescent="0.35">
      <c r="B100" s="117"/>
      <c r="C100" s="117"/>
      <c r="D100" s="176"/>
      <c r="E100" s="176"/>
      <c r="F100" s="176"/>
      <c r="G100" s="177"/>
      <c r="H100" s="176"/>
      <c r="I100" s="176"/>
      <c r="J100" s="176"/>
      <c r="K100" s="176"/>
    </row>
    <row r="101" spans="2:12" x14ac:dyDescent="0.35">
      <c r="G101" s="166" t="s">
        <v>121</v>
      </c>
    </row>
    <row r="102" spans="2:12" ht="17" x14ac:dyDescent="0.45">
      <c r="B102" s="78" t="s">
        <v>114</v>
      </c>
      <c r="C102" s="78"/>
      <c r="D102" s="187"/>
      <c r="E102" s="167"/>
      <c r="F102" s="167"/>
      <c r="G102" s="167"/>
      <c r="H102" s="167"/>
      <c r="I102" s="167"/>
      <c r="J102" s="167"/>
      <c r="K102" s="167"/>
    </row>
    <row r="103" spans="2:12" x14ac:dyDescent="0.35">
      <c r="B103" s="4" t="str">
        <f>CONCATENATE("Crocs"," (","CROX",")")</f>
        <v>Crocs (CROX)</v>
      </c>
      <c r="C103" s="4"/>
      <c r="D103" s="188"/>
      <c r="E103" s="189"/>
      <c r="F103" s="189"/>
      <c r="G103" s="189"/>
      <c r="H103" s="189"/>
      <c r="I103" s="189"/>
      <c r="J103" s="189"/>
      <c r="K103" s="189"/>
    </row>
    <row r="104" spans="2:12" x14ac:dyDescent="0.35">
      <c r="B104" s="148" t="s">
        <v>13</v>
      </c>
      <c r="C104" s="125"/>
      <c r="D104" s="199" t="s">
        <v>41</v>
      </c>
      <c r="E104" s="199"/>
      <c r="F104" s="200"/>
      <c r="G104" s="199" t="s">
        <v>120</v>
      </c>
      <c r="H104" s="200"/>
      <c r="I104" s="200"/>
      <c r="J104" s="200"/>
      <c r="K104" s="200"/>
    </row>
    <row r="105" spans="2:12" ht="14.5" thickBot="1" x14ac:dyDescent="0.4">
      <c r="B105" s="115" t="s">
        <v>42</v>
      </c>
      <c r="C105" s="115"/>
      <c r="D105" s="160">
        <f>E105-1</f>
        <v>2021</v>
      </c>
      <c r="E105" s="160">
        <f>F105-1</f>
        <v>2022</v>
      </c>
      <c r="F105" s="161">
        <v>2023</v>
      </c>
      <c r="G105" s="162">
        <f>F105+1</f>
        <v>2024</v>
      </c>
      <c r="H105" s="162">
        <f t="shared" ref="H105:K105" si="55">G105+1</f>
        <v>2025</v>
      </c>
      <c r="I105" s="162">
        <f t="shared" si="55"/>
        <v>2026</v>
      </c>
      <c r="J105" s="162">
        <f t="shared" si="55"/>
        <v>2027</v>
      </c>
      <c r="K105" s="162">
        <f t="shared" si="55"/>
        <v>2028</v>
      </c>
    </row>
    <row r="106" spans="2:12" ht="8" customHeight="1" x14ac:dyDescent="0.35">
      <c r="B106" s="1"/>
      <c r="C106" s="1"/>
      <c r="D106" s="163"/>
      <c r="E106" s="163"/>
      <c r="F106" s="164"/>
      <c r="G106" s="165"/>
      <c r="H106" s="165"/>
      <c r="I106" s="165"/>
      <c r="J106" s="165"/>
      <c r="K106" s="165"/>
    </row>
    <row r="107" spans="2:12" x14ac:dyDescent="0.35">
      <c r="B107" s="77" t="s">
        <v>23</v>
      </c>
      <c r="D107" s="141">
        <f>BS!F10</f>
        <v>217</v>
      </c>
      <c r="E107" s="141">
        <f>BS!G10</f>
        <v>329</v>
      </c>
      <c r="F107" s="136">
        <f>BS!H10</f>
        <v>331</v>
      </c>
      <c r="G107" s="96">
        <f t="shared" ref="G107:K110" si="56">(G$155*(G144/365))</f>
        <v>368.89507735583686</v>
      </c>
      <c r="H107" s="96">
        <f t="shared" si="56"/>
        <v>411.12863473525323</v>
      </c>
      <c r="I107" s="96">
        <f t="shared" si="56"/>
        <v>458.19737013251006</v>
      </c>
      <c r="J107" s="96">
        <f t="shared" si="56"/>
        <v>510.65484682559907</v>
      </c>
      <c r="K107" s="96">
        <f t="shared" si="56"/>
        <v>569.11800369142713</v>
      </c>
    </row>
    <row r="108" spans="2:12" hidden="1" outlineLevel="1" x14ac:dyDescent="0.35">
      <c r="B108" s="102" t="str">
        <f>B107&amp;": Conservative Case"</f>
        <v>Accounts Receivable: Conservative Case</v>
      </c>
      <c r="D108" s="96"/>
      <c r="E108" s="96"/>
      <c r="F108" s="97"/>
      <c r="G108" s="96">
        <f t="shared" si="56"/>
        <v>347.55</v>
      </c>
      <c r="H108" s="96">
        <f t="shared" si="56"/>
        <v>364.92750000000001</v>
      </c>
      <c r="I108" s="96">
        <f t="shared" si="56"/>
        <v>383.17387500000001</v>
      </c>
      <c r="J108" s="96">
        <f t="shared" si="56"/>
        <v>402.33256875000006</v>
      </c>
      <c r="K108" s="96">
        <f t="shared" si="56"/>
        <v>422.44919718750009</v>
      </c>
    </row>
    <row r="109" spans="2:12" hidden="1" outlineLevel="1" x14ac:dyDescent="0.35">
      <c r="B109" s="102" t="str">
        <f>B107&amp;": Base Case"</f>
        <v>Accounts Receivable: Base Case</v>
      </c>
      <c r="D109" s="96"/>
      <c r="E109" s="96"/>
      <c r="F109" s="97"/>
      <c r="G109" s="96">
        <f t="shared" si="56"/>
        <v>364.1</v>
      </c>
      <c r="H109" s="96">
        <f t="shared" si="56"/>
        <v>400.5100000000001</v>
      </c>
      <c r="I109" s="96">
        <f t="shared" si="56"/>
        <v>440.56100000000015</v>
      </c>
      <c r="J109" s="96">
        <f t="shared" si="56"/>
        <v>484.61710000000028</v>
      </c>
      <c r="K109" s="96">
        <f t="shared" si="56"/>
        <v>533.07881000000032</v>
      </c>
    </row>
    <row r="110" spans="2:12" hidden="1" outlineLevel="1" x14ac:dyDescent="0.35">
      <c r="B110" s="102" t="str">
        <f>B107&amp;": Optimistic Case"</f>
        <v>Accounts Receivable: Optimistic Case</v>
      </c>
      <c r="D110" s="96"/>
      <c r="E110" s="96"/>
      <c r="F110" s="97"/>
      <c r="G110" s="96">
        <f t="shared" si="56"/>
        <v>380.64999999999992</v>
      </c>
      <c r="H110" s="96">
        <f t="shared" si="56"/>
        <v>437.74749999999989</v>
      </c>
      <c r="I110" s="96">
        <f t="shared" si="56"/>
        <v>503.40962499999989</v>
      </c>
      <c r="J110" s="96">
        <f t="shared" si="56"/>
        <v>578.92106874999979</v>
      </c>
      <c r="K110" s="96">
        <f t="shared" si="56"/>
        <v>665.7592290624998</v>
      </c>
    </row>
    <row r="111" spans="2:12" collapsed="1" x14ac:dyDescent="0.35">
      <c r="B111" s="77" t="s">
        <v>4</v>
      </c>
      <c r="D111" s="141">
        <f>BS!F11</f>
        <v>214</v>
      </c>
      <c r="E111" s="141">
        <f>BS!G11</f>
        <v>472</v>
      </c>
      <c r="F111" s="136">
        <f>BS!H11</f>
        <v>385</v>
      </c>
      <c r="G111" s="96">
        <f t="shared" ref="G111:K114" si="57">(G$157*(G149/365))</f>
        <v>429.07735583684956</v>
      </c>
      <c r="H111" s="96">
        <f t="shared" si="57"/>
        <v>478.20097997907112</v>
      </c>
      <c r="I111" s="96">
        <f t="shared" si="57"/>
        <v>532.94860272210394</v>
      </c>
      <c r="J111" s="96">
        <f t="shared" si="57"/>
        <v>593.96409676089331</v>
      </c>
      <c r="K111" s="96">
        <f t="shared" si="57"/>
        <v>661.96504961087453</v>
      </c>
      <c r="L111" s="126"/>
    </row>
    <row r="112" spans="2:12" hidden="1" outlineLevel="1" x14ac:dyDescent="0.35">
      <c r="B112" s="102" t="str">
        <f>B111&amp;": Conservative Case"</f>
        <v>Inventories: Conservative Case</v>
      </c>
      <c r="D112" s="96"/>
      <c r="E112" s="96"/>
      <c r="F112" s="97"/>
      <c r="G112" s="96">
        <f t="shared" si="57"/>
        <v>404.25000000000011</v>
      </c>
      <c r="H112" s="96">
        <f t="shared" si="57"/>
        <v>424.46250000000009</v>
      </c>
      <c r="I112" s="96">
        <f t="shared" si="57"/>
        <v>445.68562500000019</v>
      </c>
      <c r="J112" s="96">
        <f t="shared" si="57"/>
        <v>467.96990625000012</v>
      </c>
      <c r="K112" s="96">
        <f t="shared" si="57"/>
        <v>491.36840156250025</v>
      </c>
      <c r="L112" s="126"/>
    </row>
    <row r="113" spans="2:15" hidden="1" outlineLevel="1" x14ac:dyDescent="0.35">
      <c r="B113" s="102" t="str">
        <f>B111&amp;": Base Case"</f>
        <v>Inventories: Base Case</v>
      </c>
      <c r="D113" s="96"/>
      <c r="E113" s="96"/>
      <c r="F113" s="97"/>
      <c r="G113" s="96">
        <f t="shared" si="57"/>
        <v>423.50000000000011</v>
      </c>
      <c r="H113" s="96">
        <f t="shared" si="57"/>
        <v>465.85000000000019</v>
      </c>
      <c r="I113" s="96">
        <f t="shared" si="57"/>
        <v>512.43500000000029</v>
      </c>
      <c r="J113" s="96">
        <f t="shared" si="57"/>
        <v>563.67850000000033</v>
      </c>
      <c r="K113" s="96">
        <f t="shared" si="57"/>
        <v>620.04635000000053</v>
      </c>
      <c r="L113" s="126"/>
    </row>
    <row r="114" spans="2:15" hidden="1" outlineLevel="1" x14ac:dyDescent="0.35">
      <c r="B114" s="102" t="str">
        <f>B111&amp;": Optimistic Case"</f>
        <v>Inventories: Optimistic Case</v>
      </c>
      <c r="D114" s="96"/>
      <c r="E114" s="96"/>
      <c r="F114" s="97"/>
      <c r="G114" s="96">
        <f t="shared" si="57"/>
        <v>442.75</v>
      </c>
      <c r="H114" s="96">
        <f t="shared" si="57"/>
        <v>509.16249999999997</v>
      </c>
      <c r="I114" s="96">
        <f t="shared" si="57"/>
        <v>585.5368749999999</v>
      </c>
      <c r="J114" s="96">
        <f t="shared" si="57"/>
        <v>673.36740624999993</v>
      </c>
      <c r="K114" s="96">
        <f t="shared" si="57"/>
        <v>774.37251718749985</v>
      </c>
      <c r="L114" s="126"/>
    </row>
    <row r="115" spans="2:15" collapsed="1" x14ac:dyDescent="0.35">
      <c r="B115" s="77" t="s">
        <v>14</v>
      </c>
      <c r="D115" s="141">
        <f>BS!F12</f>
        <v>23</v>
      </c>
      <c r="E115" s="141">
        <f>BS!G12</f>
        <v>34</v>
      </c>
      <c r="F115" s="136">
        <f>BS!H12</f>
        <v>45</v>
      </c>
      <c r="G115" s="96">
        <f t="shared" ref="G115:K118" si="58">G$162*G144</f>
        <v>50.151898734177209</v>
      </c>
      <c r="H115" s="96">
        <f t="shared" si="58"/>
        <v>55.893621036514794</v>
      </c>
      <c r="I115" s="96">
        <f t="shared" si="58"/>
        <v>62.292693824661491</v>
      </c>
      <c r="J115" s="96">
        <f t="shared" si="58"/>
        <v>69.424374946078416</v>
      </c>
      <c r="K115" s="96">
        <f t="shared" si="58"/>
        <v>77.372538266206107</v>
      </c>
      <c r="L115" s="126"/>
      <c r="O115" s="101"/>
    </row>
    <row r="116" spans="2:15" hidden="1" outlineLevel="1" x14ac:dyDescent="0.35">
      <c r="B116" s="102" t="str">
        <f>B115&amp;": Conservative Case"</f>
        <v>Other Current Assets: Conservative Case</v>
      </c>
      <c r="D116" s="96"/>
      <c r="E116" s="96"/>
      <c r="F116" s="97"/>
      <c r="G116" s="96">
        <f t="shared" si="58"/>
        <v>47.25</v>
      </c>
      <c r="H116" s="96">
        <f t="shared" si="58"/>
        <v>49.612500000000004</v>
      </c>
      <c r="I116" s="96">
        <f t="shared" si="58"/>
        <v>52.093125000000001</v>
      </c>
      <c r="J116" s="96">
        <f t="shared" si="58"/>
        <v>54.697781250000006</v>
      </c>
      <c r="K116" s="96">
        <f t="shared" si="58"/>
        <v>57.432670312500015</v>
      </c>
      <c r="L116" s="126"/>
      <c r="O116" s="101"/>
    </row>
    <row r="117" spans="2:15" hidden="1" outlineLevel="1" x14ac:dyDescent="0.35">
      <c r="B117" s="102" t="str">
        <f>B115&amp;": Base Case"</f>
        <v>Other Current Assets: Base Case</v>
      </c>
      <c r="D117" s="96"/>
      <c r="E117" s="96"/>
      <c r="F117" s="97"/>
      <c r="G117" s="96">
        <f t="shared" si="58"/>
        <v>49.500000000000007</v>
      </c>
      <c r="H117" s="96">
        <f t="shared" si="58"/>
        <v>54.45000000000001</v>
      </c>
      <c r="I117" s="96">
        <f t="shared" si="58"/>
        <v>59.895000000000024</v>
      </c>
      <c r="J117" s="96">
        <f t="shared" si="58"/>
        <v>65.884500000000031</v>
      </c>
      <c r="K117" s="96">
        <f t="shared" si="58"/>
        <v>72.472950000000054</v>
      </c>
      <c r="L117" s="126"/>
      <c r="O117" s="101"/>
    </row>
    <row r="118" spans="2:15" hidden="1" outlineLevel="1" x14ac:dyDescent="0.35">
      <c r="B118" s="103" t="str">
        <f>B115&amp;": Optimistic Case"</f>
        <v>Other Current Assets: Optimistic Case</v>
      </c>
      <c r="D118" s="96"/>
      <c r="E118" s="96"/>
      <c r="F118" s="97"/>
      <c r="G118" s="96">
        <f t="shared" si="58"/>
        <v>51.749999999999986</v>
      </c>
      <c r="H118" s="96">
        <f t="shared" si="58"/>
        <v>59.512499999999989</v>
      </c>
      <c r="I118" s="96">
        <f t="shared" si="58"/>
        <v>68.439374999999984</v>
      </c>
      <c r="J118" s="96">
        <f t="shared" si="58"/>
        <v>78.70528124999997</v>
      </c>
      <c r="K118" s="96">
        <f t="shared" si="58"/>
        <v>90.511073437499959</v>
      </c>
      <c r="L118" s="126"/>
      <c r="O118" s="101"/>
    </row>
    <row r="119" spans="2:15" collapsed="1" x14ac:dyDescent="0.35">
      <c r="B119" s="127" t="s">
        <v>48</v>
      </c>
      <c r="C119" s="127"/>
      <c r="D119" s="128">
        <f t="shared" ref="D119" si="59">SUM(D107,D111,D115)</f>
        <v>454</v>
      </c>
      <c r="E119" s="128">
        <f t="shared" ref="E119:K122" si="60">SUM(E107,E111,E115)</f>
        <v>835</v>
      </c>
      <c r="F119" s="129">
        <f t="shared" si="60"/>
        <v>761</v>
      </c>
      <c r="G119" s="128">
        <f t="shared" si="60"/>
        <v>848.12433192686353</v>
      </c>
      <c r="H119" s="128">
        <f t="shared" si="60"/>
        <v>945.22323575083919</v>
      </c>
      <c r="I119" s="128">
        <f t="shared" si="60"/>
        <v>1053.4386666792755</v>
      </c>
      <c r="J119" s="128">
        <f t="shared" si="60"/>
        <v>1174.0433185325708</v>
      </c>
      <c r="K119" s="128">
        <f t="shared" si="60"/>
        <v>1308.4555915685078</v>
      </c>
      <c r="L119" s="126"/>
      <c r="O119" s="101"/>
    </row>
    <row r="120" spans="2:15" hidden="1" outlineLevel="1" x14ac:dyDescent="0.35">
      <c r="B120" s="89" t="str">
        <f>B119&amp;": Conservative Case"</f>
        <v>Non-Cash Current Assets: Conservative Case</v>
      </c>
      <c r="C120" s="1"/>
      <c r="D120" s="88"/>
      <c r="E120" s="88"/>
      <c r="F120" s="90"/>
      <c r="G120" s="88">
        <f t="shared" si="60"/>
        <v>799.05000000000018</v>
      </c>
      <c r="H120" s="88">
        <f t="shared" si="60"/>
        <v>839.00250000000005</v>
      </c>
      <c r="I120" s="88">
        <f t="shared" si="60"/>
        <v>880.95262500000024</v>
      </c>
      <c r="J120" s="88">
        <f t="shared" si="60"/>
        <v>925.00025625000023</v>
      </c>
      <c r="K120" s="88">
        <f t="shared" si="60"/>
        <v>971.25026906250037</v>
      </c>
      <c r="L120" s="126"/>
      <c r="O120" s="101"/>
    </row>
    <row r="121" spans="2:15" hidden="1" outlineLevel="1" x14ac:dyDescent="0.35">
      <c r="B121" s="89" t="str">
        <f>B119&amp;": Base Case"</f>
        <v>Non-Cash Current Assets: Base Case</v>
      </c>
      <c r="C121" s="1"/>
      <c r="D121" s="88"/>
      <c r="E121" s="88"/>
      <c r="F121" s="90"/>
      <c r="G121" s="88">
        <f t="shared" si="60"/>
        <v>837.10000000000014</v>
      </c>
      <c r="H121" s="88">
        <f t="shared" si="60"/>
        <v>920.8100000000004</v>
      </c>
      <c r="I121" s="88">
        <f t="shared" si="60"/>
        <v>1012.8910000000004</v>
      </c>
      <c r="J121" s="88">
        <f t="shared" si="60"/>
        <v>1114.1801000000007</v>
      </c>
      <c r="K121" s="88">
        <f t="shared" si="60"/>
        <v>1225.598110000001</v>
      </c>
      <c r="L121" s="126"/>
      <c r="O121" s="101"/>
    </row>
    <row r="122" spans="2:15" hidden="1" outlineLevel="1" x14ac:dyDescent="0.35">
      <c r="B122" s="89" t="str">
        <f>B119&amp;": Optimistic Case"</f>
        <v>Non-Cash Current Assets: Optimistic Case</v>
      </c>
      <c r="C122" s="1"/>
      <c r="D122" s="88"/>
      <c r="E122" s="88"/>
      <c r="F122" s="90"/>
      <c r="G122" s="88">
        <f t="shared" si="60"/>
        <v>875.14999999999986</v>
      </c>
      <c r="H122" s="88">
        <f t="shared" si="60"/>
        <v>1006.4224999999999</v>
      </c>
      <c r="I122" s="88">
        <f t="shared" si="60"/>
        <v>1157.3858749999997</v>
      </c>
      <c r="J122" s="88">
        <f t="shared" si="60"/>
        <v>1330.9937562499997</v>
      </c>
      <c r="K122" s="88">
        <f t="shared" si="60"/>
        <v>1530.6428196874997</v>
      </c>
      <c r="L122" s="126"/>
      <c r="O122" s="101"/>
    </row>
    <row r="123" spans="2:15" ht="8" customHeight="1" collapsed="1" x14ac:dyDescent="0.35">
      <c r="D123" s="96"/>
      <c r="E123" s="96"/>
      <c r="F123" s="97"/>
      <c r="G123" s="96"/>
      <c r="H123" s="96"/>
      <c r="I123" s="96"/>
      <c r="J123" s="96"/>
      <c r="K123" s="96"/>
      <c r="O123" s="101"/>
    </row>
    <row r="124" spans="2:15" x14ac:dyDescent="0.35">
      <c r="B124" s="77" t="s">
        <v>24</v>
      </c>
      <c r="D124" s="141">
        <f>BS!F22</f>
        <v>162</v>
      </c>
      <c r="E124" s="141">
        <f>BS!G22</f>
        <v>231</v>
      </c>
      <c r="F124" s="136">
        <f>BS!H22</f>
        <v>261</v>
      </c>
      <c r="G124" s="96">
        <f t="shared" ref="G124:K127" si="61">G$159*(G149/365)</f>
        <v>290.88101265822792</v>
      </c>
      <c r="H124" s="96">
        <f t="shared" si="61"/>
        <v>324.18300201178585</v>
      </c>
      <c r="I124" s="96">
        <f t="shared" si="61"/>
        <v>361.2976241830367</v>
      </c>
      <c r="J124" s="96">
        <f t="shared" si="61"/>
        <v>402.66137468725492</v>
      </c>
      <c r="K124" s="96">
        <f t="shared" si="61"/>
        <v>448.76072194399546</v>
      </c>
      <c r="L124" s="126"/>
      <c r="O124" s="101"/>
    </row>
    <row r="125" spans="2:15" hidden="1" outlineLevel="1" x14ac:dyDescent="0.35">
      <c r="B125" s="102" t="str">
        <f>B124&amp;": Conservative Case"</f>
        <v>Accounts Payable: Conservative Case</v>
      </c>
      <c r="D125" s="96"/>
      <c r="E125" s="96"/>
      <c r="F125" s="97"/>
      <c r="G125" s="96">
        <f t="shared" si="61"/>
        <v>274.05000000000007</v>
      </c>
      <c r="H125" s="96">
        <f t="shared" si="61"/>
        <v>287.75250000000005</v>
      </c>
      <c r="I125" s="96">
        <f t="shared" si="61"/>
        <v>302.14012500000013</v>
      </c>
      <c r="J125" s="96">
        <f t="shared" si="61"/>
        <v>317.24713125000011</v>
      </c>
      <c r="K125" s="96">
        <f t="shared" si="61"/>
        <v>333.10948781250016</v>
      </c>
      <c r="L125" s="126"/>
      <c r="O125" s="101"/>
    </row>
    <row r="126" spans="2:15" hidden="1" outlineLevel="1" x14ac:dyDescent="0.35">
      <c r="B126" s="102" t="str">
        <f>B124&amp;": Base Case"</f>
        <v>Accounts Payable: Base Case</v>
      </c>
      <c r="D126" s="96"/>
      <c r="E126" s="96"/>
      <c r="F126" s="97"/>
      <c r="G126" s="96">
        <f t="shared" si="61"/>
        <v>287.10000000000008</v>
      </c>
      <c r="H126" s="96">
        <f t="shared" si="61"/>
        <v>315.81000000000012</v>
      </c>
      <c r="I126" s="96">
        <f t="shared" si="61"/>
        <v>347.39100000000025</v>
      </c>
      <c r="J126" s="96">
        <f t="shared" si="61"/>
        <v>382.13010000000025</v>
      </c>
      <c r="K126" s="96">
        <f t="shared" si="61"/>
        <v>420.34311000000037</v>
      </c>
      <c r="L126" s="126"/>
      <c r="O126" s="101"/>
    </row>
    <row r="127" spans="2:15" hidden="1" outlineLevel="1" x14ac:dyDescent="0.35">
      <c r="B127" s="102" t="str">
        <f>B124&amp;": Optimistic Case"</f>
        <v>Accounts Payable: Optimistic Case</v>
      </c>
      <c r="D127" s="96"/>
      <c r="E127" s="96"/>
      <c r="F127" s="97"/>
      <c r="G127" s="96">
        <f t="shared" si="61"/>
        <v>300.15000000000003</v>
      </c>
      <c r="H127" s="96">
        <f t="shared" si="61"/>
        <v>345.17250000000001</v>
      </c>
      <c r="I127" s="96">
        <f t="shared" si="61"/>
        <v>396.94837499999994</v>
      </c>
      <c r="J127" s="96">
        <f t="shared" si="61"/>
        <v>456.49063124999992</v>
      </c>
      <c r="K127" s="96">
        <f t="shared" si="61"/>
        <v>524.96422593749992</v>
      </c>
      <c r="L127" s="126"/>
      <c r="O127" s="101"/>
    </row>
    <row r="128" spans="2:15" collapsed="1" x14ac:dyDescent="0.35">
      <c r="B128" s="77" t="s">
        <v>87</v>
      </c>
      <c r="D128" s="141">
        <f>BS!F23</f>
        <v>29</v>
      </c>
      <c r="E128" s="141">
        <f>BS!G23</f>
        <v>116</v>
      </c>
      <c r="F128" s="136">
        <f>BS!H23</f>
        <v>90</v>
      </c>
      <c r="G128" s="96">
        <f>G144*G$165</f>
        <v>100.30379746835442</v>
      </c>
      <c r="H128" s="96">
        <f t="shared" ref="H128:K128" si="62">H144*H$165</f>
        <v>111.78724207302959</v>
      </c>
      <c r="I128" s="96">
        <f t="shared" si="62"/>
        <v>124.58538764932298</v>
      </c>
      <c r="J128" s="96">
        <f t="shared" si="62"/>
        <v>138.84874989215683</v>
      </c>
      <c r="K128" s="96">
        <f t="shared" si="62"/>
        <v>154.74507653241221</v>
      </c>
      <c r="L128" s="126"/>
      <c r="O128" s="101"/>
    </row>
    <row r="129" spans="2:15" hidden="1" outlineLevel="1" x14ac:dyDescent="0.35">
      <c r="B129" s="102" t="str">
        <f>B128&amp;": Conservative Case"</f>
        <v>Tax Payable: Conservative Case</v>
      </c>
      <c r="D129" s="96"/>
      <c r="E129" s="96"/>
      <c r="F129" s="97"/>
      <c r="G129" s="96">
        <f>G145*G$165</f>
        <v>94.5</v>
      </c>
      <c r="H129" s="96">
        <f t="shared" ref="H129:K129" si="63">H145*H$165</f>
        <v>99.225000000000009</v>
      </c>
      <c r="I129" s="96">
        <f t="shared" si="63"/>
        <v>104.18625</v>
      </c>
      <c r="J129" s="96">
        <f t="shared" si="63"/>
        <v>109.39556250000001</v>
      </c>
      <c r="K129" s="96">
        <f t="shared" si="63"/>
        <v>114.86534062500003</v>
      </c>
      <c r="L129" s="126"/>
      <c r="O129" s="101"/>
    </row>
    <row r="130" spans="2:15" hidden="1" outlineLevel="1" x14ac:dyDescent="0.35">
      <c r="B130" s="102" t="str">
        <f>B128&amp;": Base Case"</f>
        <v>Tax Payable: Base Case</v>
      </c>
      <c r="D130" s="96"/>
      <c r="E130" s="96"/>
      <c r="F130" s="97"/>
      <c r="G130" s="96">
        <f t="shared" ref="G130:K130" si="64">G146*G$165</f>
        <v>99.000000000000014</v>
      </c>
      <c r="H130" s="96">
        <f t="shared" si="64"/>
        <v>108.90000000000002</v>
      </c>
      <c r="I130" s="96">
        <f t="shared" si="64"/>
        <v>119.79000000000005</v>
      </c>
      <c r="J130" s="96">
        <f t="shared" si="64"/>
        <v>131.76900000000006</v>
      </c>
      <c r="K130" s="96">
        <f t="shared" si="64"/>
        <v>144.94590000000011</v>
      </c>
      <c r="L130" s="126"/>
      <c r="O130" s="101"/>
    </row>
    <row r="131" spans="2:15" hidden="1" outlineLevel="1" x14ac:dyDescent="0.35">
      <c r="B131" s="102" t="str">
        <f>B128&amp;": Optimistic Case"</f>
        <v>Tax Payable: Optimistic Case</v>
      </c>
      <c r="D131" s="96"/>
      <c r="E131" s="96"/>
      <c r="F131" s="97"/>
      <c r="G131" s="96">
        <f t="shared" ref="G131:K131" si="65">G147*G$165</f>
        <v>103.49999999999997</v>
      </c>
      <c r="H131" s="96">
        <f t="shared" si="65"/>
        <v>119.02499999999998</v>
      </c>
      <c r="I131" s="96">
        <f t="shared" si="65"/>
        <v>136.87874999999997</v>
      </c>
      <c r="J131" s="96">
        <f t="shared" si="65"/>
        <v>157.41056249999994</v>
      </c>
      <c r="K131" s="96">
        <f t="shared" si="65"/>
        <v>181.02214687499992</v>
      </c>
      <c r="L131" s="126"/>
      <c r="O131" s="101"/>
    </row>
    <row r="132" spans="2:15" collapsed="1" x14ac:dyDescent="0.35">
      <c r="B132" s="77" t="s">
        <v>116</v>
      </c>
      <c r="D132" s="141">
        <f>SUM(BS!F24,BS!F26:F28)</f>
        <v>154</v>
      </c>
      <c r="E132" s="141">
        <f>SUM(BS!G24,BS!G26:G28)</f>
        <v>213</v>
      </c>
      <c r="F132" s="136">
        <f>SUM(BS!H24,BS!H26:H28)</f>
        <v>262</v>
      </c>
      <c r="G132" s="96">
        <f t="shared" ref="G128:K135" si="66">G144*G$166</f>
        <v>291.9954992967651</v>
      </c>
      <c r="H132" s="96">
        <f t="shared" si="66"/>
        <v>325.42508247926389</v>
      </c>
      <c r="I132" s="96">
        <f t="shared" si="66"/>
        <v>362.68190626802914</v>
      </c>
      <c r="J132" s="96">
        <f t="shared" si="66"/>
        <v>404.20413857494549</v>
      </c>
      <c r="K132" s="96">
        <f t="shared" si="66"/>
        <v>450.48011168324444</v>
      </c>
      <c r="L132" s="126"/>
      <c r="O132" s="101"/>
    </row>
    <row r="133" spans="2:15" hidden="1" outlineLevel="1" x14ac:dyDescent="0.35">
      <c r="B133" s="102" t="str">
        <f>B132&amp;": Conservative Case"</f>
        <v>Accured &amp; Other Current Liabilities: Conservative Case</v>
      </c>
      <c r="D133" s="96"/>
      <c r="E133" s="96"/>
      <c r="F133" s="97"/>
      <c r="G133" s="96">
        <f t="shared" si="66"/>
        <v>275.10000000000002</v>
      </c>
      <c r="H133" s="96">
        <f t="shared" si="66"/>
        <v>288.85500000000002</v>
      </c>
      <c r="I133" s="96">
        <f t="shared" si="66"/>
        <v>303.29775000000001</v>
      </c>
      <c r="J133" s="96">
        <f t="shared" si="66"/>
        <v>318.46263750000003</v>
      </c>
      <c r="K133" s="96">
        <f t="shared" si="66"/>
        <v>334.38576937500011</v>
      </c>
      <c r="L133" s="126"/>
      <c r="O133" s="101"/>
    </row>
    <row r="134" spans="2:15" hidden="1" outlineLevel="1" x14ac:dyDescent="0.35">
      <c r="B134" s="102" t="str">
        <f>B132&amp;": Base Case"</f>
        <v>Accured &amp; Other Current Liabilities: Base Case</v>
      </c>
      <c r="D134" s="96"/>
      <c r="E134" s="96"/>
      <c r="F134" s="97"/>
      <c r="G134" s="96">
        <f t="shared" si="66"/>
        <v>288.20000000000005</v>
      </c>
      <c r="H134" s="96">
        <f t="shared" si="66"/>
        <v>317.0200000000001</v>
      </c>
      <c r="I134" s="96">
        <f t="shared" si="66"/>
        <v>348.72200000000015</v>
      </c>
      <c r="J134" s="96">
        <f t="shared" si="66"/>
        <v>383.59420000000023</v>
      </c>
      <c r="K134" s="96">
        <f t="shared" si="66"/>
        <v>421.95362000000029</v>
      </c>
      <c r="L134" s="126"/>
      <c r="O134" s="101"/>
    </row>
    <row r="135" spans="2:15" hidden="1" outlineLevel="1" x14ac:dyDescent="0.35">
      <c r="B135" s="102" t="str">
        <f>B132&amp;": Optimistic Case"</f>
        <v>Accured &amp; Other Current Liabilities: Optimistic Case</v>
      </c>
      <c r="D135" s="96"/>
      <c r="E135" s="96"/>
      <c r="F135" s="97"/>
      <c r="G135" s="96">
        <f t="shared" si="66"/>
        <v>301.29999999999995</v>
      </c>
      <c r="H135" s="96">
        <f t="shared" si="66"/>
        <v>346.49499999999995</v>
      </c>
      <c r="I135" s="96">
        <f t="shared" si="66"/>
        <v>398.46924999999987</v>
      </c>
      <c r="J135" s="96">
        <f t="shared" si="66"/>
        <v>458.23963749999984</v>
      </c>
      <c r="K135" s="96">
        <f t="shared" si="66"/>
        <v>526.97558312499984</v>
      </c>
      <c r="L135" s="126"/>
      <c r="O135" s="101"/>
    </row>
    <row r="136" spans="2:15" collapsed="1" x14ac:dyDescent="0.35">
      <c r="B136" s="127" t="s">
        <v>49</v>
      </c>
      <c r="C136" s="127"/>
      <c r="D136" s="128">
        <f>SUM(D124,D128,D132)</f>
        <v>345</v>
      </c>
      <c r="E136" s="128">
        <f t="shared" ref="E136:K136" si="67">SUM(E124,E128,E132)</f>
        <v>560</v>
      </c>
      <c r="F136" s="129">
        <f t="shared" si="67"/>
        <v>613</v>
      </c>
      <c r="G136" s="128">
        <f t="shared" si="67"/>
        <v>683.18030942334735</v>
      </c>
      <c r="H136" s="128">
        <f t="shared" si="67"/>
        <v>761.39532656407937</v>
      </c>
      <c r="I136" s="128">
        <f t="shared" si="67"/>
        <v>848.56491810038881</v>
      </c>
      <c r="J136" s="128">
        <f t="shared" si="67"/>
        <v>945.71426315435724</v>
      </c>
      <c r="K136" s="128">
        <f t="shared" si="67"/>
        <v>1053.9859101596521</v>
      </c>
    </row>
    <row r="137" spans="2:15" hidden="1" outlineLevel="1" x14ac:dyDescent="0.35">
      <c r="B137" s="89" t="str">
        <f>B136&amp;": Conservative Case"</f>
        <v>Non-Cash Current Liabilities: Conservative Case</v>
      </c>
      <c r="C137" s="1"/>
      <c r="D137" s="88"/>
      <c r="E137" s="88"/>
      <c r="F137" s="130"/>
      <c r="G137" s="88">
        <f t="shared" ref="G137:K137" si="68">SUM(G125,G129,G133)</f>
        <v>643.65000000000009</v>
      </c>
      <c r="H137" s="88">
        <f t="shared" si="68"/>
        <v>675.8325000000001</v>
      </c>
      <c r="I137" s="88">
        <f t="shared" si="68"/>
        <v>709.62412500000005</v>
      </c>
      <c r="J137" s="88">
        <f t="shared" si="68"/>
        <v>745.10533125000018</v>
      </c>
      <c r="K137" s="88">
        <f t="shared" si="68"/>
        <v>782.36059781250037</v>
      </c>
    </row>
    <row r="138" spans="2:15" hidden="1" outlineLevel="1" x14ac:dyDescent="0.35">
      <c r="B138" s="89" t="str">
        <f>B136&amp;": Base Case"</f>
        <v>Non-Cash Current Liabilities: Base Case</v>
      </c>
      <c r="C138" s="1"/>
      <c r="D138" s="88"/>
      <c r="E138" s="88"/>
      <c r="F138" s="90"/>
      <c r="G138" s="88">
        <f t="shared" ref="G138:K138" si="69">SUM(G126,G130,G134)</f>
        <v>674.30000000000018</v>
      </c>
      <c r="H138" s="88">
        <f t="shared" si="69"/>
        <v>741.73000000000025</v>
      </c>
      <c r="I138" s="88">
        <f t="shared" si="69"/>
        <v>815.90300000000047</v>
      </c>
      <c r="J138" s="88">
        <f t="shared" si="69"/>
        <v>897.49330000000054</v>
      </c>
      <c r="K138" s="88">
        <f t="shared" si="69"/>
        <v>987.24263000000064</v>
      </c>
    </row>
    <row r="139" spans="2:15" hidden="1" outlineLevel="1" x14ac:dyDescent="0.35">
      <c r="B139" s="89" t="str">
        <f>B136&amp;": Optimistic Case"</f>
        <v>Non-Cash Current Liabilities: Optimistic Case</v>
      </c>
      <c r="C139" s="1"/>
      <c r="D139" s="88"/>
      <c r="E139" s="88"/>
      <c r="F139" s="90"/>
      <c r="G139" s="88">
        <f t="shared" ref="G139:K139" si="70">SUM(G127,G131,G135)</f>
        <v>704.94999999999993</v>
      </c>
      <c r="H139" s="88">
        <f t="shared" si="70"/>
        <v>810.69249999999988</v>
      </c>
      <c r="I139" s="88">
        <f t="shared" si="70"/>
        <v>932.29637499999978</v>
      </c>
      <c r="J139" s="88">
        <f t="shared" si="70"/>
        <v>1072.1408312499998</v>
      </c>
      <c r="K139" s="88">
        <f t="shared" si="70"/>
        <v>1232.9619559374996</v>
      </c>
    </row>
    <row r="140" spans="2:15" collapsed="1" x14ac:dyDescent="0.35"/>
    <row r="141" spans="2:15" x14ac:dyDescent="0.35">
      <c r="B141" s="113" t="s">
        <v>115</v>
      </c>
      <c r="C141" s="113"/>
      <c r="D141" s="167"/>
      <c r="E141" s="167"/>
      <c r="F141" s="167"/>
      <c r="G141" s="167"/>
      <c r="H141" s="167"/>
      <c r="I141" s="167"/>
      <c r="J141" s="167"/>
      <c r="K141" s="167"/>
    </row>
    <row r="142" spans="2:15" ht="14.5" thickBot="1" x14ac:dyDescent="0.4">
      <c r="B142" s="115" t="s">
        <v>42</v>
      </c>
      <c r="C142" s="115"/>
      <c r="D142" s="160">
        <f t="shared" ref="D142:K142" si="71">D105</f>
        <v>2021</v>
      </c>
      <c r="E142" s="160">
        <f t="shared" si="71"/>
        <v>2022</v>
      </c>
      <c r="F142" s="161">
        <f t="shared" si="71"/>
        <v>2023</v>
      </c>
      <c r="G142" s="162">
        <f t="shared" si="71"/>
        <v>2024</v>
      </c>
      <c r="H142" s="162">
        <f t="shared" si="71"/>
        <v>2025</v>
      </c>
      <c r="I142" s="162">
        <f t="shared" si="71"/>
        <v>2026</v>
      </c>
      <c r="J142" s="162">
        <f t="shared" si="71"/>
        <v>2027</v>
      </c>
      <c r="K142" s="162">
        <f t="shared" si="71"/>
        <v>2028</v>
      </c>
    </row>
    <row r="143" spans="2:15" ht="8" customHeight="1" x14ac:dyDescent="0.35">
      <c r="B143" s="116"/>
      <c r="C143" s="116"/>
      <c r="D143" s="168"/>
      <c r="E143" s="168"/>
      <c r="F143" s="169"/>
      <c r="G143" s="170"/>
      <c r="H143" s="170"/>
      <c r="I143" s="170"/>
      <c r="J143" s="170"/>
      <c r="K143" s="170"/>
    </row>
    <row r="144" spans="2:15" x14ac:dyDescent="0.35">
      <c r="B144" s="131" t="s">
        <v>33</v>
      </c>
      <c r="C144" s="117"/>
      <c r="D144" s="144">
        <f>D7</f>
        <v>2313</v>
      </c>
      <c r="E144" s="144">
        <f>E7</f>
        <v>3555</v>
      </c>
      <c r="F144" s="144">
        <f>F7</f>
        <v>3962</v>
      </c>
      <c r="G144" s="132">
        <f>G7</f>
        <v>4415.5960618846693</v>
      </c>
      <c r="H144" s="133">
        <f t="shared" ref="H144:K144" si="72">H7</f>
        <v>4921.1228121482582</v>
      </c>
      <c r="I144" s="133">
        <f t="shared" si="72"/>
        <v>5484.5256207401962</v>
      </c>
      <c r="J144" s="133">
        <f t="shared" si="72"/>
        <v>6112.4305230302825</v>
      </c>
      <c r="K144" s="133">
        <f t="shared" si="72"/>
        <v>6812.2221469046353</v>
      </c>
    </row>
    <row r="145" spans="2:11" hidden="1" outlineLevel="1" x14ac:dyDescent="0.35">
      <c r="B145" s="118" t="str">
        <f>B144&amp;": Conservative Case"</f>
        <v>Revenue: Conservative Case</v>
      </c>
      <c r="C145" s="117"/>
      <c r="D145" s="145"/>
      <c r="E145" s="145"/>
      <c r="F145" s="145"/>
      <c r="G145" s="134">
        <f t="shared" ref="G145:K147" si="73">G8</f>
        <v>4160.1000000000004</v>
      </c>
      <c r="H145" s="135">
        <f t="shared" si="73"/>
        <v>4368.1050000000005</v>
      </c>
      <c r="I145" s="135">
        <f t="shared" si="73"/>
        <v>4586.5102500000003</v>
      </c>
      <c r="J145" s="135">
        <f t="shared" si="73"/>
        <v>4815.8357625000008</v>
      </c>
      <c r="K145" s="135">
        <f t="shared" si="73"/>
        <v>5056.6275506250013</v>
      </c>
    </row>
    <row r="146" spans="2:11" hidden="1" outlineLevel="1" x14ac:dyDescent="0.35">
      <c r="B146" s="118" t="str">
        <f>B144&amp;": Base Case"</f>
        <v>Revenue: Base Case</v>
      </c>
      <c r="C146" s="117"/>
      <c r="D146" s="145"/>
      <c r="E146" s="145"/>
      <c r="F146" s="145"/>
      <c r="G146" s="134">
        <f t="shared" si="73"/>
        <v>4358.2000000000007</v>
      </c>
      <c r="H146" s="135">
        <f t="shared" si="73"/>
        <v>4794.0200000000013</v>
      </c>
      <c r="I146" s="135">
        <f t="shared" si="73"/>
        <v>5273.4220000000023</v>
      </c>
      <c r="J146" s="135">
        <f t="shared" si="73"/>
        <v>5800.7642000000033</v>
      </c>
      <c r="K146" s="135">
        <f t="shared" si="73"/>
        <v>6380.8406200000045</v>
      </c>
    </row>
    <row r="147" spans="2:11" hidden="1" outlineLevel="1" x14ac:dyDescent="0.35">
      <c r="B147" s="118" t="str">
        <f>B144&amp;": Optimistic Case"</f>
        <v>Revenue: Optimistic Case</v>
      </c>
      <c r="C147" s="117"/>
      <c r="D147" s="145"/>
      <c r="E147" s="145"/>
      <c r="F147" s="145"/>
      <c r="G147" s="134">
        <f t="shared" si="73"/>
        <v>4556.2999999999993</v>
      </c>
      <c r="H147" s="135">
        <f t="shared" si="73"/>
        <v>5239.744999999999</v>
      </c>
      <c r="I147" s="135">
        <f t="shared" si="73"/>
        <v>6025.7067499999985</v>
      </c>
      <c r="J147" s="135">
        <f t="shared" si="73"/>
        <v>6929.5627624999979</v>
      </c>
      <c r="K147" s="135">
        <f t="shared" si="73"/>
        <v>7968.9971768749974</v>
      </c>
    </row>
    <row r="148" spans="2:11" ht="4" customHeight="1" collapsed="1" x14ac:dyDescent="0.35">
      <c r="B148" s="118"/>
      <c r="C148" s="117"/>
      <c r="D148" s="145"/>
      <c r="E148" s="145"/>
      <c r="F148" s="145"/>
      <c r="G148" s="134"/>
      <c r="H148" s="135"/>
      <c r="I148" s="135"/>
      <c r="J148" s="135"/>
      <c r="K148" s="135"/>
    </row>
    <row r="149" spans="2:11" x14ac:dyDescent="0.35">
      <c r="B149" s="131" t="s">
        <v>77</v>
      </c>
      <c r="C149" s="117"/>
      <c r="D149" s="144">
        <f>D11</f>
        <v>893</v>
      </c>
      <c r="E149" s="144">
        <f>E11</f>
        <v>1695</v>
      </c>
      <c r="F149" s="144">
        <f>F11</f>
        <v>1752</v>
      </c>
      <c r="G149" s="132">
        <f>G11</f>
        <v>1952.5805907172996</v>
      </c>
      <c r="H149" s="133">
        <f t="shared" ref="H149:K149" si="74">H11</f>
        <v>2176.124979021643</v>
      </c>
      <c r="I149" s="133">
        <f t="shared" si="74"/>
        <v>2425.2622129068209</v>
      </c>
      <c r="J149" s="133">
        <f t="shared" si="74"/>
        <v>2702.9223312339868</v>
      </c>
      <c r="K149" s="133">
        <f t="shared" si="74"/>
        <v>3012.3708231642913</v>
      </c>
    </row>
    <row r="150" spans="2:11" hidden="1" outlineLevel="1" x14ac:dyDescent="0.35">
      <c r="B150" s="118" t="str">
        <f>B149&amp;": Conservative Case"</f>
        <v>Cost of Goods Sold: Conservative Case</v>
      </c>
      <c r="C150" s="117"/>
      <c r="D150" s="133"/>
      <c r="E150" s="133"/>
      <c r="F150" s="133"/>
      <c r="G150" s="132">
        <f>G12</f>
        <v>1839.6000000000004</v>
      </c>
      <c r="H150" s="133">
        <f t="shared" ref="H150:K150" si="75">H12</f>
        <v>1931.5800000000004</v>
      </c>
      <c r="I150" s="133">
        <f t="shared" si="75"/>
        <v>2028.1590000000003</v>
      </c>
      <c r="J150" s="133">
        <f t="shared" si="75"/>
        <v>2129.5669500000004</v>
      </c>
      <c r="K150" s="133">
        <f t="shared" si="75"/>
        <v>2236.0452975000007</v>
      </c>
    </row>
    <row r="151" spans="2:11" hidden="1" outlineLevel="1" x14ac:dyDescent="0.35">
      <c r="B151" s="118" t="str">
        <f>B149&amp;": Base Case"</f>
        <v>Cost of Goods Sold: Base Case</v>
      </c>
      <c r="C151" s="117"/>
      <c r="D151" s="133"/>
      <c r="E151" s="133"/>
      <c r="F151" s="133"/>
      <c r="G151" s="132">
        <f t="shared" ref="G151:G152" si="76">G13</f>
        <v>1927.2000000000005</v>
      </c>
      <c r="H151" s="133">
        <f t="shared" ref="H151:K151" si="77">H13</f>
        <v>2119.9200000000005</v>
      </c>
      <c r="I151" s="133">
        <f t="shared" si="77"/>
        <v>2331.9120000000012</v>
      </c>
      <c r="J151" s="133">
        <f t="shared" si="77"/>
        <v>2565.1032000000014</v>
      </c>
      <c r="K151" s="133">
        <f t="shared" si="77"/>
        <v>2821.6135200000022</v>
      </c>
    </row>
    <row r="152" spans="2:11" hidden="1" outlineLevel="1" x14ac:dyDescent="0.35">
      <c r="B152" s="118" t="str">
        <f>B149&amp;": Optimistic Case"</f>
        <v>Cost of Goods Sold: Optimistic Case</v>
      </c>
      <c r="C152" s="117"/>
      <c r="D152" s="133"/>
      <c r="E152" s="133"/>
      <c r="F152" s="133"/>
      <c r="G152" s="132">
        <f t="shared" si="76"/>
        <v>2014.7999999999997</v>
      </c>
      <c r="H152" s="133">
        <f t="shared" ref="H152:K152" si="78">H14</f>
        <v>2317.0199999999995</v>
      </c>
      <c r="I152" s="133">
        <f t="shared" si="78"/>
        <v>2664.5729999999994</v>
      </c>
      <c r="J152" s="133">
        <f t="shared" si="78"/>
        <v>3064.2589499999995</v>
      </c>
      <c r="K152" s="133">
        <f t="shared" si="78"/>
        <v>3523.897792499999</v>
      </c>
    </row>
    <row r="153" spans="2:11" ht="4" customHeight="1" collapsed="1" x14ac:dyDescent="0.35">
      <c r="B153" s="117"/>
      <c r="C153" s="117"/>
      <c r="D153" s="171"/>
      <c r="E153" s="171"/>
      <c r="F153" s="171"/>
      <c r="G153" s="172"/>
      <c r="H153" s="171"/>
      <c r="I153" s="171"/>
      <c r="J153" s="171"/>
      <c r="K153" s="171"/>
    </row>
    <row r="154" spans="2:11" x14ac:dyDescent="0.35">
      <c r="B154" s="131" t="s">
        <v>23</v>
      </c>
      <c r="C154" s="117"/>
      <c r="D154" s="171"/>
      <c r="E154" s="171"/>
      <c r="F154" s="171"/>
      <c r="G154" s="172"/>
      <c r="H154" s="171"/>
      <c r="I154" s="171"/>
      <c r="J154" s="171"/>
      <c r="K154" s="171"/>
    </row>
    <row r="155" spans="2:11" x14ac:dyDescent="0.35">
      <c r="B155" s="117" t="s">
        <v>65</v>
      </c>
      <c r="C155" s="117"/>
      <c r="D155" s="173">
        <f>IFERROR((D107/D144)*365,"")</f>
        <v>34.243406830955472</v>
      </c>
      <c r="E155" s="173">
        <f>IFERROR((E107/E144)*365,"")</f>
        <v>33.77918424753868</v>
      </c>
      <c r="F155" s="173">
        <f>IFERROR((F107/F144)*365,"")</f>
        <v>30.493437657748611</v>
      </c>
      <c r="G155" s="174">
        <f>F155</f>
        <v>30.493437657748611</v>
      </c>
      <c r="H155" s="173">
        <f t="shared" ref="H155:K155" si="79">G155</f>
        <v>30.493437657748611</v>
      </c>
      <c r="I155" s="173">
        <f t="shared" si="79"/>
        <v>30.493437657748611</v>
      </c>
      <c r="J155" s="173">
        <f t="shared" si="79"/>
        <v>30.493437657748611</v>
      </c>
      <c r="K155" s="173">
        <f t="shared" si="79"/>
        <v>30.493437657748611</v>
      </c>
    </row>
    <row r="156" spans="2:11" x14ac:dyDescent="0.35">
      <c r="B156" s="131" t="s">
        <v>66</v>
      </c>
      <c r="C156" s="117"/>
      <c r="D156" s="173"/>
      <c r="E156" s="173"/>
      <c r="F156" s="173"/>
      <c r="G156" s="174"/>
      <c r="H156" s="173"/>
      <c r="I156" s="173"/>
      <c r="J156" s="173"/>
      <c r="K156" s="173"/>
    </row>
    <row r="157" spans="2:11" x14ac:dyDescent="0.35">
      <c r="B157" s="124" t="s">
        <v>67</v>
      </c>
      <c r="C157" s="117"/>
      <c r="D157" s="173">
        <f>IFERROR((D111/D149)*365,"")</f>
        <v>87.469204927211649</v>
      </c>
      <c r="E157" s="173">
        <f>IFERROR((E111/E149)*365,"")</f>
        <v>101.64011799410029</v>
      </c>
      <c r="F157" s="173">
        <f>IFERROR((F111/F149)*365,"")</f>
        <v>80.208333333333343</v>
      </c>
      <c r="G157" s="174">
        <f>F157</f>
        <v>80.208333333333343</v>
      </c>
      <c r="H157" s="173">
        <f t="shared" ref="H157:K157" si="80">G157</f>
        <v>80.208333333333343</v>
      </c>
      <c r="I157" s="173">
        <f t="shared" si="80"/>
        <v>80.208333333333343</v>
      </c>
      <c r="J157" s="173">
        <f t="shared" si="80"/>
        <v>80.208333333333343</v>
      </c>
      <c r="K157" s="173">
        <f t="shared" si="80"/>
        <v>80.208333333333343</v>
      </c>
    </row>
    <row r="158" spans="2:11" x14ac:dyDescent="0.35">
      <c r="B158" s="131" t="s">
        <v>24</v>
      </c>
      <c r="C158" s="117"/>
      <c r="D158" s="173"/>
      <c r="E158" s="173"/>
      <c r="F158" s="173"/>
      <c r="G158" s="174"/>
      <c r="H158" s="173"/>
      <c r="I158" s="173"/>
      <c r="J158" s="173"/>
      <c r="K158" s="173"/>
    </row>
    <row r="159" spans="2:11" x14ac:dyDescent="0.35">
      <c r="B159" s="117" t="s">
        <v>68</v>
      </c>
      <c r="C159" s="117"/>
      <c r="D159" s="173">
        <f>IFERROR((D124/D149)*365,"")</f>
        <v>66.215005599104146</v>
      </c>
      <c r="E159" s="173">
        <f>IFERROR((E124/E149)*365,"")</f>
        <v>49.743362831858413</v>
      </c>
      <c r="F159" s="173">
        <f>IFERROR((F124/F149)*365,"")</f>
        <v>54.375000000000007</v>
      </c>
      <c r="G159" s="174">
        <f>F159</f>
        <v>54.375000000000007</v>
      </c>
      <c r="H159" s="173">
        <f t="shared" ref="H159:K159" si="81">G159</f>
        <v>54.375000000000007</v>
      </c>
      <c r="I159" s="173">
        <f t="shared" si="81"/>
        <v>54.375000000000007</v>
      </c>
      <c r="J159" s="173">
        <f t="shared" si="81"/>
        <v>54.375000000000007</v>
      </c>
      <c r="K159" s="173">
        <f t="shared" si="81"/>
        <v>54.375000000000007</v>
      </c>
    </row>
    <row r="160" spans="2:11" ht="4" customHeight="1" x14ac:dyDescent="0.35">
      <c r="B160" s="117"/>
      <c r="C160" s="117"/>
      <c r="D160" s="171"/>
      <c r="E160" s="171"/>
      <c r="F160" s="171"/>
      <c r="G160" s="175"/>
      <c r="H160" s="171"/>
      <c r="I160" s="171"/>
      <c r="J160" s="171"/>
      <c r="K160" s="171"/>
    </row>
    <row r="161" spans="2:11" x14ac:dyDescent="0.35">
      <c r="B161" s="131" t="s">
        <v>14</v>
      </c>
      <c r="C161" s="117"/>
      <c r="D161" s="171"/>
      <c r="E161" s="171"/>
      <c r="F161" s="171"/>
      <c r="G161" s="175"/>
      <c r="H161" s="171"/>
      <c r="I161" s="171"/>
      <c r="J161" s="171"/>
      <c r="K161" s="171"/>
    </row>
    <row r="162" spans="2:11" x14ac:dyDescent="0.35">
      <c r="B162" s="117" t="s">
        <v>119</v>
      </c>
      <c r="C162" s="117"/>
      <c r="D162" s="176">
        <f>IFERROR(D115/D$144,"")</f>
        <v>9.9437959360138342E-3</v>
      </c>
      <c r="E162" s="176">
        <f>IFERROR(E115/E$144,"")</f>
        <v>9.5639943741209557E-3</v>
      </c>
      <c r="F162" s="176">
        <f>IFERROR(F115/F$144,"")</f>
        <v>1.1357900050479555E-2</v>
      </c>
      <c r="G162" s="177">
        <f>F162</f>
        <v>1.1357900050479555E-2</v>
      </c>
      <c r="H162" s="176">
        <f t="shared" ref="H162:K162" si="82">G162</f>
        <v>1.1357900050479555E-2</v>
      </c>
      <c r="I162" s="176">
        <f t="shared" si="82"/>
        <v>1.1357900050479555E-2</v>
      </c>
      <c r="J162" s="176">
        <f t="shared" si="82"/>
        <v>1.1357900050479555E-2</v>
      </c>
      <c r="K162" s="176">
        <f t="shared" si="82"/>
        <v>1.1357900050479555E-2</v>
      </c>
    </row>
    <row r="163" spans="2:11" ht="4" customHeight="1" x14ac:dyDescent="0.35">
      <c r="B163" s="117"/>
      <c r="C163" s="117"/>
      <c r="D163" s="176"/>
      <c r="E163" s="176"/>
      <c r="F163" s="176"/>
      <c r="G163" s="177"/>
      <c r="H163" s="176"/>
      <c r="I163" s="176"/>
      <c r="J163" s="176"/>
      <c r="K163" s="176"/>
    </row>
    <row r="164" spans="2:11" x14ac:dyDescent="0.35">
      <c r="B164" s="131" t="s">
        <v>17</v>
      </c>
      <c r="C164" s="117"/>
      <c r="D164" s="176"/>
      <c r="E164" s="176"/>
      <c r="F164" s="176"/>
      <c r="G164" s="177"/>
      <c r="H164" s="176"/>
      <c r="I164" s="176"/>
      <c r="J164" s="176"/>
      <c r="K164" s="176"/>
    </row>
    <row r="165" spans="2:11" x14ac:dyDescent="0.35">
      <c r="B165" s="117" t="s">
        <v>118</v>
      </c>
      <c r="C165" s="117"/>
      <c r="D165" s="176">
        <f t="shared" ref="D165:E165" si="83">IFERROR(D128/D$144,"")</f>
        <v>1.2537829658452227E-2</v>
      </c>
      <c r="E165" s="176">
        <f t="shared" si="83"/>
        <v>3.2630098452883262E-2</v>
      </c>
      <c r="F165" s="176">
        <f>IFERROR(F128/F$144,"")</f>
        <v>2.271580010095911E-2</v>
      </c>
      <c r="G165" s="177">
        <f>F165</f>
        <v>2.271580010095911E-2</v>
      </c>
      <c r="H165" s="176">
        <f t="shared" ref="H165" si="84">G165</f>
        <v>2.271580010095911E-2</v>
      </c>
      <c r="I165" s="176">
        <f t="shared" ref="I165" si="85">H165</f>
        <v>2.271580010095911E-2</v>
      </c>
      <c r="J165" s="176">
        <f t="shared" ref="J165" si="86">I165</f>
        <v>2.271580010095911E-2</v>
      </c>
      <c r="K165" s="176">
        <f t="shared" ref="K165" si="87">J165</f>
        <v>2.271580010095911E-2</v>
      </c>
    </row>
    <row r="166" spans="2:11" x14ac:dyDescent="0.35">
      <c r="B166" s="117" t="s">
        <v>117</v>
      </c>
      <c r="C166" s="117"/>
      <c r="D166" s="176">
        <f>IFERROR(D132/D$144,"")</f>
        <v>6.658019887591872E-2</v>
      </c>
      <c r="E166" s="176">
        <f>IFERROR(E132/E$144,"")</f>
        <v>5.9915611814345994E-2</v>
      </c>
      <c r="F166" s="176">
        <f>IFERROR(F132/F$144,"")</f>
        <v>6.6128218071680969E-2</v>
      </c>
      <c r="G166" s="177">
        <f>F166</f>
        <v>6.6128218071680969E-2</v>
      </c>
      <c r="H166" s="176">
        <f t="shared" ref="H166:K166" si="88">G166</f>
        <v>6.6128218071680969E-2</v>
      </c>
      <c r="I166" s="176">
        <f t="shared" si="88"/>
        <v>6.6128218071680969E-2</v>
      </c>
      <c r="J166" s="176">
        <f t="shared" si="88"/>
        <v>6.6128218071680969E-2</v>
      </c>
      <c r="K166" s="176">
        <f t="shared" si="88"/>
        <v>6.6128218071680969E-2</v>
      </c>
    </row>
    <row r="167" spans="2:11" ht="8" customHeight="1" x14ac:dyDescent="0.35">
      <c r="B167" s="120"/>
      <c r="C167" s="120"/>
      <c r="D167" s="178"/>
      <c r="E167" s="178"/>
      <c r="F167" s="178"/>
      <c r="G167" s="179"/>
      <c r="H167" s="178"/>
      <c r="I167" s="178"/>
      <c r="J167" s="178"/>
      <c r="K167" s="178"/>
    </row>
  </sheetData>
  <sheetProtection sheet="1" objects="1" scenarios="1"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IS</vt:lpstr>
      <vt:lpstr>BS</vt:lpstr>
      <vt:lpstr>CFS</vt:lpstr>
      <vt:lpstr>FCFF Forecast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dc:creator>
  <cp:lastModifiedBy>F S</cp:lastModifiedBy>
  <dcterms:created xsi:type="dcterms:W3CDTF">2024-02-25T23:06:43Z</dcterms:created>
  <dcterms:modified xsi:type="dcterms:W3CDTF">2024-03-11T20:28:51Z</dcterms:modified>
</cp:coreProperties>
</file>